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rrafp01\group\epa warr data unit - restricted\waste av - assessments\LG WARR Report\"/>
    </mc:Choice>
  </mc:AlternateContent>
  <xr:revisionPtr revIDLastSave="0" documentId="13_ncr:1_{EE4C6407-0FDF-4F58-8CE0-1BDCC0D5848D}" xr6:coauthVersionLast="36" xr6:coauthVersionMax="36" xr10:uidLastSave="{00000000-0000-0000-0000-000000000000}"/>
  <bookViews>
    <workbookView xWindow="0" yWindow="0" windowWidth="25200" windowHeight="11685" tabRatio="652" firstSheet="4" activeTab="8" xr2:uid="{00000000-000D-0000-FFFF-FFFF00000000}"/>
  </bookViews>
  <sheets>
    <sheet name="App 1-Services" sheetId="1" r:id="rId1"/>
    <sheet name="App 2-Totals" sheetId="2" r:id="rId2"/>
    <sheet name="App 3-Recycling Rate" sheetId="3" r:id="rId3"/>
    <sheet name="App 4-Recyclables" sheetId="4" r:id="rId4"/>
    <sheet name="App 5-Organics" sheetId="5" r:id="rId5"/>
    <sheet name="App 6-Residual Waste" sheetId="6" r:id="rId6"/>
    <sheet name="App 7-Household and Capita" sheetId="7" r:id="rId7"/>
    <sheet name="App 8-Bin Size and Frequency" sheetId="8" r:id="rId8"/>
    <sheet name="App 8a - Rec Materials Acepted" sheetId="11" r:id="rId9"/>
    <sheet name="App 9-AWT" sheetId="9" r:id="rId10"/>
    <sheet name="App 10-DWMC" sheetId="10" r:id="rId11"/>
  </sheets>
  <definedNames>
    <definedName name="_xlnm.Print_Area" localSheetId="10">'App 10-DWMC'!$A$1:$F$132</definedName>
    <definedName name="_xlnm.Print_Area" localSheetId="0">'App 1-Services'!$A$1:$W$135</definedName>
    <definedName name="_xlnm.Print_Area" localSheetId="1">'App 2-Totals'!$A$1:$L$57</definedName>
    <definedName name="_xlnm.Print_Area" localSheetId="2">'App 3-Recycling Rate'!$A$1:$S$140</definedName>
    <definedName name="_xlnm.Print_Area" localSheetId="3">'App 4-Recyclables'!$A$1:$P$155</definedName>
    <definedName name="_xlnm.Print_Area" localSheetId="4">'App 5-Organics'!$A$1:$P$155</definedName>
    <definedName name="_xlnm.Print_Area" localSheetId="5">'App 6-Residual Waste'!$A$1:$U$157</definedName>
    <definedName name="_xlnm.Print_Area" localSheetId="6">'App 7-Household and Capita'!$A$1:$T$142</definedName>
    <definedName name="_xlnm.Print_Area" localSheetId="7">'App 8-Bin Size and Frequency'!$A$1:$T$133</definedName>
    <definedName name="_xlnm.Print_Titles" localSheetId="10">'App 10-DWMC'!$1:$4</definedName>
    <definedName name="_xlnm.Print_Titles" localSheetId="0">'App 1-Services'!$1:$3</definedName>
    <definedName name="_xlnm.Print_Titles" localSheetId="2">'App 3-Recycling Rate'!$1:$5</definedName>
    <definedName name="_xlnm.Print_Titles" localSheetId="3">'App 4-Recyclables'!$1:$4</definedName>
    <definedName name="_xlnm.Print_Titles" localSheetId="4">'App 5-Organics'!$1:$4</definedName>
    <definedName name="_xlnm.Print_Titles" localSheetId="5">'App 6-Residual Waste'!$1:$4</definedName>
    <definedName name="_xlnm.Print_Titles" localSheetId="6">'App 7-Household and Capita'!$1:$4</definedName>
    <definedName name="_xlnm.Print_Titles" localSheetId="7">'App 8-Bin Size and Frequency'!$1:$4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49" i="8" l="1"/>
  <c r="R149" i="8"/>
  <c r="P149" i="8"/>
  <c r="P147" i="8"/>
  <c r="O149" i="8"/>
  <c r="O147" i="8"/>
  <c r="P146" i="8"/>
  <c r="O146" i="8"/>
  <c r="L146" i="8"/>
  <c r="L147" i="8"/>
  <c r="L149" i="8"/>
  <c r="L148" i="8"/>
  <c r="K146" i="8"/>
  <c r="K149" i="8"/>
  <c r="K148" i="8"/>
  <c r="K147" i="8"/>
  <c r="H148" i="8" l="1"/>
  <c r="G148" i="8"/>
  <c r="H149" i="8"/>
  <c r="G149" i="8"/>
  <c r="H147" i="8"/>
  <c r="G147" i="8"/>
  <c r="H146" i="8"/>
  <c r="G146" i="8"/>
  <c r="AI5" i="7" l="1"/>
  <c r="K144" i="8"/>
  <c r="K140" i="8"/>
  <c r="K141" i="8"/>
  <c r="K142" i="8"/>
  <c r="K143" i="8"/>
  <c r="Q143" i="8"/>
  <c r="Q142" i="8"/>
  <c r="Q141" i="8"/>
  <c r="Q140" i="8"/>
  <c r="Q144" i="8" s="1"/>
  <c r="N143" i="8"/>
  <c r="N142" i="8"/>
  <c r="N141" i="8"/>
  <c r="N140" i="8"/>
  <c r="N144" i="8" s="1"/>
  <c r="F143" i="8"/>
  <c r="F142" i="8"/>
  <c r="F141" i="8"/>
  <c r="F140" i="8"/>
  <c r="F144" i="8" l="1"/>
  <c r="K134" i="5" l="1"/>
  <c r="N134" i="5"/>
  <c r="J134" i="5"/>
  <c r="T140" i="7"/>
  <c r="T141" i="7"/>
  <c r="S140" i="7"/>
  <c r="AG140" i="7"/>
  <c r="AH140" i="7"/>
  <c r="Y144" i="7"/>
  <c r="O144" i="7"/>
  <c r="AH139" i="7" l="1"/>
  <c r="AH141" i="7"/>
  <c r="AH142" i="7"/>
  <c r="AG133" i="7"/>
  <c r="AH133" i="7"/>
  <c r="AG139" i="7"/>
  <c r="AG141" i="7"/>
  <c r="AG142" i="7"/>
  <c r="L130" i="7"/>
  <c r="L131" i="7"/>
  <c r="M139" i="1" l="1"/>
  <c r="B33" i="2"/>
  <c r="B32" i="2"/>
  <c r="B31" i="2"/>
  <c r="G37" i="7" l="1"/>
  <c r="U37" i="8"/>
  <c r="U32" i="8" l="1"/>
  <c r="G13" i="9" l="1"/>
  <c r="H13" i="9"/>
  <c r="AA35" i="6" l="1"/>
  <c r="AA77" i="6" l="1"/>
  <c r="Q133" i="1" l="1"/>
  <c r="P133" i="1"/>
  <c r="J133" i="1"/>
  <c r="L133" i="1"/>
  <c r="B581" i="1" l="1"/>
  <c r="C581" i="1"/>
  <c r="D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AH581" i="1"/>
  <c r="AI581" i="1"/>
  <c r="AJ581" i="1"/>
  <c r="AK581" i="1"/>
  <c r="AL581" i="1"/>
  <c r="AM581" i="1"/>
  <c r="AN581" i="1"/>
  <c r="AO581" i="1"/>
  <c r="AP581" i="1"/>
  <c r="AQ581" i="1"/>
  <c r="AR581" i="1"/>
  <c r="AS581" i="1"/>
  <c r="AT581" i="1"/>
  <c r="AU581" i="1"/>
  <c r="AV581" i="1"/>
  <c r="AW581" i="1"/>
  <c r="AX581" i="1"/>
  <c r="AY581" i="1"/>
  <c r="G137" i="8" l="1"/>
  <c r="H137" i="8" s="1"/>
  <c r="V140" i="8"/>
  <c r="G40" i="7"/>
  <c r="G41" i="7"/>
  <c r="G42" i="7"/>
  <c r="R137" i="8"/>
  <c r="S137" i="8" s="1"/>
  <c r="R136" i="8"/>
  <c r="O136" i="8"/>
  <c r="P136" i="8" s="1"/>
  <c r="O137" i="8"/>
  <c r="P137" i="8" s="1"/>
  <c r="O138" i="8"/>
  <c r="P138" i="8" s="1"/>
  <c r="O139" i="8"/>
  <c r="P139" i="8" s="1"/>
  <c r="G136" i="8"/>
  <c r="H136" i="8" s="1"/>
  <c r="K137" i="8"/>
  <c r="L137" i="8" s="1"/>
  <c r="K136" i="8"/>
  <c r="L136" i="8" s="1"/>
  <c r="U98" i="8"/>
  <c r="U99" i="8"/>
  <c r="U100" i="8"/>
  <c r="U101" i="8"/>
  <c r="U102" i="8"/>
  <c r="R138" i="8" l="1"/>
  <c r="S136" i="8"/>
  <c r="O140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3" i="8"/>
  <c r="U34" i="8"/>
  <c r="U35" i="8"/>
  <c r="U36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P123" i="7"/>
  <c r="L6" i="7"/>
  <c r="L7" i="7"/>
  <c r="L9" i="7"/>
  <c r="L10" i="7"/>
  <c r="L11" i="7"/>
  <c r="L12" i="7"/>
  <c r="L13" i="7"/>
  <c r="L14" i="7"/>
  <c r="L16" i="7"/>
  <c r="L17" i="7"/>
  <c r="L18" i="7"/>
  <c r="L22" i="7"/>
  <c r="L23" i="7"/>
  <c r="L24" i="7"/>
  <c r="L25" i="7"/>
  <c r="L26" i="7"/>
  <c r="L27" i="7"/>
  <c r="L28" i="7"/>
  <c r="L30" i="7"/>
  <c r="L32" i="7"/>
  <c r="L33" i="7"/>
  <c r="L35" i="7"/>
  <c r="L36" i="7"/>
  <c r="L38" i="7"/>
  <c r="L39" i="7"/>
  <c r="L40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2" i="7"/>
  <c r="L113" i="7"/>
  <c r="L114" i="7"/>
  <c r="L115" i="7"/>
  <c r="L116" i="7"/>
  <c r="L117" i="7"/>
  <c r="L118" i="7"/>
  <c r="L119" i="7"/>
  <c r="L122" i="7"/>
  <c r="L123" i="7"/>
  <c r="L124" i="7"/>
  <c r="L126" i="7"/>
  <c r="L127" i="7"/>
  <c r="L128" i="7"/>
  <c r="L129" i="7"/>
  <c r="L132" i="7"/>
  <c r="U134" i="8" l="1"/>
  <c r="W140" i="8"/>
  <c r="U138" i="11"/>
  <c r="U144" i="11" s="1"/>
  <c r="T138" i="11"/>
  <c r="T144" i="11" s="1"/>
  <c r="S138" i="11"/>
  <c r="S144" i="11" s="1"/>
  <c r="R138" i="11"/>
  <c r="R144" i="11" s="1"/>
  <c r="Q138" i="11"/>
  <c r="Q144" i="11" s="1"/>
  <c r="P138" i="11"/>
  <c r="P144" i="11" s="1"/>
  <c r="O138" i="11"/>
  <c r="O144" i="11" s="1"/>
  <c r="N138" i="11"/>
  <c r="N144" i="11" s="1"/>
  <c r="M138" i="11"/>
  <c r="M144" i="11" s="1"/>
  <c r="L138" i="11"/>
  <c r="L144" i="11" s="1"/>
  <c r="K138" i="11"/>
  <c r="K144" i="11" s="1"/>
  <c r="J138" i="11"/>
  <c r="J144" i="11" s="1"/>
  <c r="I138" i="11"/>
  <c r="I144" i="11" s="1"/>
  <c r="H138" i="11"/>
  <c r="H144" i="11" s="1"/>
  <c r="G138" i="11"/>
  <c r="G144" i="11" s="1"/>
  <c r="F138" i="11"/>
  <c r="F144" i="11" s="1"/>
  <c r="E138" i="11"/>
  <c r="E144" i="11" s="1"/>
  <c r="U137" i="11"/>
  <c r="U143" i="11" s="1"/>
  <c r="T137" i="11"/>
  <c r="T143" i="11" s="1"/>
  <c r="S137" i="11"/>
  <c r="S143" i="11" s="1"/>
  <c r="R137" i="11"/>
  <c r="R143" i="11" s="1"/>
  <c r="Q137" i="11"/>
  <c r="Q143" i="11" s="1"/>
  <c r="P137" i="11"/>
  <c r="P143" i="11" s="1"/>
  <c r="O137" i="11"/>
  <c r="O143" i="11" s="1"/>
  <c r="N137" i="11"/>
  <c r="N143" i="11" s="1"/>
  <c r="M137" i="11"/>
  <c r="M143" i="11" s="1"/>
  <c r="L137" i="11"/>
  <c r="L143" i="11" s="1"/>
  <c r="K137" i="11"/>
  <c r="K143" i="11" s="1"/>
  <c r="J137" i="11"/>
  <c r="J143" i="11" s="1"/>
  <c r="I137" i="11"/>
  <c r="I143" i="11" s="1"/>
  <c r="H137" i="11"/>
  <c r="H143" i="11" s="1"/>
  <c r="G137" i="11"/>
  <c r="G143" i="11" s="1"/>
  <c r="F137" i="11"/>
  <c r="F143" i="11" s="1"/>
  <c r="E137" i="11"/>
  <c r="E143" i="11" s="1"/>
  <c r="U136" i="11"/>
  <c r="U142" i="11" s="1"/>
  <c r="T136" i="11"/>
  <c r="T142" i="11" s="1"/>
  <c r="S136" i="11"/>
  <c r="S142" i="11" s="1"/>
  <c r="R136" i="11"/>
  <c r="R142" i="11" s="1"/>
  <c r="Q136" i="11"/>
  <c r="Q142" i="11" s="1"/>
  <c r="P136" i="11"/>
  <c r="P142" i="11" s="1"/>
  <c r="O136" i="11"/>
  <c r="O142" i="11" s="1"/>
  <c r="N136" i="11"/>
  <c r="N142" i="11" s="1"/>
  <c r="M136" i="11"/>
  <c r="M142" i="11" s="1"/>
  <c r="L136" i="11"/>
  <c r="L142" i="11" s="1"/>
  <c r="K136" i="11"/>
  <c r="K142" i="11" s="1"/>
  <c r="J136" i="11"/>
  <c r="J142" i="11" s="1"/>
  <c r="I136" i="11"/>
  <c r="I142" i="11" s="1"/>
  <c r="H136" i="11"/>
  <c r="H142" i="11" s="1"/>
  <c r="G136" i="11"/>
  <c r="G142" i="11" s="1"/>
  <c r="F136" i="11"/>
  <c r="F142" i="11" s="1"/>
  <c r="E136" i="11"/>
  <c r="E142" i="11" s="1"/>
  <c r="U135" i="11"/>
  <c r="U141" i="11" s="1"/>
  <c r="T135" i="11"/>
  <c r="T141" i="11" s="1"/>
  <c r="S135" i="11"/>
  <c r="S141" i="11" s="1"/>
  <c r="R135" i="11"/>
  <c r="R139" i="11" s="1"/>
  <c r="R145" i="11" s="1"/>
  <c r="Q135" i="11"/>
  <c r="Q141" i="11" s="1"/>
  <c r="P135" i="11"/>
  <c r="P141" i="11" s="1"/>
  <c r="O135" i="11"/>
  <c r="O141" i="11" s="1"/>
  <c r="N135" i="11"/>
  <c r="N139" i="11" s="1"/>
  <c r="N145" i="11" s="1"/>
  <c r="M135" i="11"/>
  <c r="M141" i="11" s="1"/>
  <c r="L135" i="11"/>
  <c r="L141" i="11" s="1"/>
  <c r="K135" i="11"/>
  <c r="K141" i="11" s="1"/>
  <c r="J135" i="11"/>
  <c r="J139" i="11" s="1"/>
  <c r="J145" i="11" s="1"/>
  <c r="I135" i="11"/>
  <c r="I141" i="11" s="1"/>
  <c r="H135" i="11"/>
  <c r="H141" i="11" s="1"/>
  <c r="G135" i="11"/>
  <c r="G141" i="11" s="1"/>
  <c r="F135" i="11"/>
  <c r="F139" i="11" s="1"/>
  <c r="F145" i="11" s="1"/>
  <c r="E135" i="11"/>
  <c r="E141" i="11" s="1"/>
  <c r="U133" i="11"/>
  <c r="T133" i="11"/>
  <c r="S133" i="11"/>
  <c r="R133" i="11"/>
  <c r="Q133" i="11"/>
  <c r="P133" i="11"/>
  <c r="O133" i="11"/>
  <c r="N133" i="11"/>
  <c r="M133" i="11"/>
  <c r="L133" i="11"/>
  <c r="K133" i="11"/>
  <c r="J133" i="11"/>
  <c r="I133" i="11"/>
  <c r="H133" i="11"/>
  <c r="G133" i="11"/>
  <c r="F133" i="11"/>
  <c r="E133" i="11"/>
  <c r="G139" i="11" l="1"/>
  <c r="G145" i="11" s="1"/>
  <c r="K139" i="11"/>
  <c r="K145" i="11" s="1"/>
  <c r="O139" i="11"/>
  <c r="O145" i="11" s="1"/>
  <c r="S139" i="11"/>
  <c r="S145" i="11" s="1"/>
  <c r="F141" i="11"/>
  <c r="J141" i="11"/>
  <c r="N141" i="11"/>
  <c r="R141" i="11"/>
  <c r="H139" i="11"/>
  <c r="H145" i="11" s="1"/>
  <c r="L139" i="11"/>
  <c r="L145" i="11" s="1"/>
  <c r="P139" i="11"/>
  <c r="P145" i="11" s="1"/>
  <c r="T139" i="11"/>
  <c r="T145" i="11" s="1"/>
  <c r="E139" i="11"/>
  <c r="E145" i="11" s="1"/>
  <c r="I139" i="11"/>
  <c r="I145" i="11" s="1"/>
  <c r="M139" i="11"/>
  <c r="M145" i="11" s="1"/>
  <c r="Q139" i="11"/>
  <c r="Q145" i="11" s="1"/>
  <c r="U139" i="11"/>
  <c r="U145" i="11" s="1"/>
  <c r="O99" i="7" l="1"/>
  <c r="S131" i="7"/>
  <c r="S105" i="7"/>
  <c r="S102" i="7"/>
  <c r="S100" i="7"/>
  <c r="S98" i="7"/>
  <c r="S96" i="7"/>
  <c r="S95" i="7"/>
  <c r="S92" i="7"/>
  <c r="S85" i="7"/>
  <c r="S84" i="7"/>
  <c r="S79" i="7"/>
  <c r="S71" i="7"/>
  <c r="S64" i="7"/>
  <c r="S63" i="7"/>
  <c r="S62" i="7"/>
  <c r="S57" i="7"/>
  <c r="S54" i="7"/>
  <c r="S52" i="7"/>
  <c r="S49" i="7"/>
  <c r="S45" i="7"/>
  <c r="S44" i="7"/>
  <c r="S36" i="7"/>
  <c r="S35" i="7"/>
  <c r="S33" i="7"/>
  <c r="S23" i="7"/>
  <c r="S21" i="7"/>
  <c r="P130" i="7"/>
  <c r="P129" i="7"/>
  <c r="P119" i="7"/>
  <c r="P113" i="7"/>
  <c r="P110" i="7"/>
  <c r="P109" i="7"/>
  <c r="P108" i="7"/>
  <c r="P107" i="7"/>
  <c r="P104" i="7"/>
  <c r="P99" i="7"/>
  <c r="P88" i="7"/>
  <c r="P77" i="7"/>
  <c r="P76" i="7"/>
  <c r="P68" i="7"/>
  <c r="P67" i="7"/>
  <c r="P65" i="7"/>
  <c r="P60" i="7"/>
  <c r="P58" i="7"/>
  <c r="P55" i="7"/>
  <c r="P53" i="7"/>
  <c r="P52" i="7"/>
  <c r="P46" i="7"/>
  <c r="P42" i="7"/>
  <c r="P39" i="7"/>
  <c r="P30" i="7"/>
  <c r="P17" i="7"/>
  <c r="P22" i="7"/>
  <c r="P27" i="7"/>
  <c r="P26" i="7"/>
  <c r="P25" i="7"/>
  <c r="S7" i="7"/>
  <c r="P10" i="7"/>
  <c r="R60" i="7"/>
  <c r="S60" i="7" s="1"/>
  <c r="Z142" i="7" l="1"/>
  <c r="Y142" i="7"/>
  <c r="X142" i="7"/>
  <c r="W142" i="7"/>
  <c r="Z141" i="7"/>
  <c r="Y141" i="7"/>
  <c r="X141" i="7"/>
  <c r="W141" i="7"/>
  <c r="Z140" i="7"/>
  <c r="Y140" i="7"/>
  <c r="X140" i="7"/>
  <c r="W140" i="7"/>
  <c r="Z139" i="7"/>
  <c r="Y139" i="7"/>
  <c r="X139" i="7"/>
  <c r="W139" i="7"/>
  <c r="R142" i="7"/>
  <c r="R141" i="7"/>
  <c r="R140" i="7"/>
  <c r="R139" i="7"/>
  <c r="O142" i="7"/>
  <c r="O141" i="7"/>
  <c r="O140" i="7"/>
  <c r="O139" i="7"/>
  <c r="K142" i="7"/>
  <c r="K141" i="7"/>
  <c r="K140" i="7"/>
  <c r="K139" i="7"/>
  <c r="F142" i="7"/>
  <c r="F141" i="7"/>
  <c r="F140" i="7"/>
  <c r="F139" i="7"/>
  <c r="G5" i="7" l="1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1" i="7"/>
  <c r="AB62" i="7"/>
  <c r="AB63" i="7"/>
  <c r="AB64" i="7"/>
  <c r="AB65" i="7"/>
  <c r="AB66" i="7"/>
  <c r="AB67" i="7"/>
  <c r="AB68" i="7"/>
  <c r="AB69" i="7"/>
  <c r="AB70" i="7"/>
  <c r="AB71" i="7"/>
  <c r="AB72" i="7"/>
  <c r="AB73" i="7"/>
  <c r="AB74" i="7"/>
  <c r="AB75" i="7"/>
  <c r="AB76" i="7"/>
  <c r="AB77" i="7"/>
  <c r="AB78" i="7"/>
  <c r="AB79" i="7"/>
  <c r="AB80" i="7"/>
  <c r="AB81" i="7"/>
  <c r="AB82" i="7"/>
  <c r="AB83" i="7"/>
  <c r="AB84" i="7"/>
  <c r="AB85" i="7"/>
  <c r="AB86" i="7"/>
  <c r="AB87" i="7"/>
  <c r="AB88" i="7"/>
  <c r="AB89" i="7"/>
  <c r="AB90" i="7"/>
  <c r="AB91" i="7"/>
  <c r="AB92" i="7"/>
  <c r="AB93" i="7"/>
  <c r="AB94" i="7"/>
  <c r="AB95" i="7"/>
  <c r="AB96" i="7"/>
  <c r="AB97" i="7"/>
  <c r="AB98" i="7"/>
  <c r="AB99" i="7"/>
  <c r="AB100" i="7"/>
  <c r="AB101" i="7"/>
  <c r="AB102" i="7"/>
  <c r="AB103" i="7"/>
  <c r="AB104" i="7"/>
  <c r="AB105" i="7"/>
  <c r="AB106" i="7"/>
  <c r="AB107" i="7"/>
  <c r="AB108" i="7"/>
  <c r="AB109" i="7"/>
  <c r="AB110" i="7"/>
  <c r="AB111" i="7"/>
  <c r="AB112" i="7"/>
  <c r="AB113" i="7"/>
  <c r="AB114" i="7"/>
  <c r="AB115" i="7"/>
  <c r="AB116" i="7"/>
  <c r="AB117" i="7"/>
  <c r="AB118" i="7"/>
  <c r="AB119" i="7"/>
  <c r="AB120" i="7"/>
  <c r="AB121" i="7"/>
  <c r="AB122" i="7"/>
  <c r="AB123" i="7"/>
  <c r="AB124" i="7"/>
  <c r="AB125" i="7"/>
  <c r="AB126" i="7"/>
  <c r="AB127" i="7"/>
  <c r="AB128" i="7"/>
  <c r="AB129" i="7"/>
  <c r="AB130" i="7"/>
  <c r="AB131" i="7"/>
  <c r="AB132" i="7"/>
  <c r="AB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AC32" i="7" s="1"/>
  <c r="H32" i="7" s="1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50" i="7"/>
  <c r="V51" i="7"/>
  <c r="V52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5" i="7"/>
  <c r="I133" i="1"/>
  <c r="J134" i="1"/>
  <c r="I135" i="1"/>
  <c r="J135" i="1"/>
  <c r="I136" i="1"/>
  <c r="J136" i="1"/>
  <c r="I137" i="1"/>
  <c r="J137" i="1"/>
  <c r="I138" i="1"/>
  <c r="J138" i="1"/>
  <c r="AY737" i="1"/>
  <c r="AX737" i="1"/>
  <c r="AW737" i="1"/>
  <c r="AV737" i="1"/>
  <c r="AU737" i="1"/>
  <c r="AT737" i="1"/>
  <c r="AS737" i="1"/>
  <c r="AR737" i="1"/>
  <c r="AQ737" i="1"/>
  <c r="AP737" i="1"/>
  <c r="AO737" i="1"/>
  <c r="AN737" i="1"/>
  <c r="AM737" i="1"/>
  <c r="AL737" i="1"/>
  <c r="AK737" i="1"/>
  <c r="AJ737" i="1"/>
  <c r="AI737" i="1"/>
  <c r="AH737" i="1"/>
  <c r="AG737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H737" i="1"/>
  <c r="G737" i="1"/>
  <c r="D737" i="1"/>
  <c r="C737" i="1"/>
  <c r="B737" i="1"/>
  <c r="AY736" i="1"/>
  <c r="AX736" i="1"/>
  <c r="AW736" i="1"/>
  <c r="AV736" i="1"/>
  <c r="AU736" i="1"/>
  <c r="AT736" i="1"/>
  <c r="AS736" i="1"/>
  <c r="AR736" i="1"/>
  <c r="AQ736" i="1"/>
  <c r="AP736" i="1"/>
  <c r="AO736" i="1"/>
  <c r="AN736" i="1"/>
  <c r="AM736" i="1"/>
  <c r="AL736" i="1"/>
  <c r="AK736" i="1"/>
  <c r="AJ736" i="1"/>
  <c r="AI736" i="1"/>
  <c r="AH736" i="1"/>
  <c r="AG736" i="1"/>
  <c r="AF736" i="1"/>
  <c r="AE736" i="1"/>
  <c r="AD736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H736" i="1"/>
  <c r="G736" i="1"/>
  <c r="D736" i="1"/>
  <c r="C736" i="1"/>
  <c r="B73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H726" i="1"/>
  <c r="G726" i="1"/>
  <c r="D726" i="1"/>
  <c r="C726" i="1"/>
  <c r="B726" i="1"/>
  <c r="AY725" i="1"/>
  <c r="AX725" i="1"/>
  <c r="AW725" i="1"/>
  <c r="AV725" i="1"/>
  <c r="AU725" i="1"/>
  <c r="AT725" i="1"/>
  <c r="AS725" i="1"/>
  <c r="AR725" i="1"/>
  <c r="AQ725" i="1"/>
  <c r="AP725" i="1"/>
  <c r="AO725" i="1"/>
  <c r="AN725" i="1"/>
  <c r="AM725" i="1"/>
  <c r="AL725" i="1"/>
  <c r="AK725" i="1"/>
  <c r="AJ725" i="1"/>
  <c r="AI725" i="1"/>
  <c r="AH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H725" i="1"/>
  <c r="G725" i="1"/>
  <c r="D725" i="1"/>
  <c r="C725" i="1"/>
  <c r="B725" i="1"/>
  <c r="AY724" i="1"/>
  <c r="AX724" i="1"/>
  <c r="AW724" i="1"/>
  <c r="AV724" i="1"/>
  <c r="AU724" i="1"/>
  <c r="AT724" i="1"/>
  <c r="AS724" i="1"/>
  <c r="AR724" i="1"/>
  <c r="AQ724" i="1"/>
  <c r="AP724" i="1"/>
  <c r="AO724" i="1"/>
  <c r="AN724" i="1"/>
  <c r="AM724" i="1"/>
  <c r="AL724" i="1"/>
  <c r="AK724" i="1"/>
  <c r="AJ724" i="1"/>
  <c r="AI724" i="1"/>
  <c r="AH724" i="1"/>
  <c r="AG724" i="1"/>
  <c r="AF724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H724" i="1"/>
  <c r="G724" i="1"/>
  <c r="D724" i="1"/>
  <c r="C724" i="1"/>
  <c r="B724" i="1"/>
  <c r="AY723" i="1"/>
  <c r="AX723" i="1"/>
  <c r="AW723" i="1"/>
  <c r="AV723" i="1"/>
  <c r="AU723" i="1"/>
  <c r="AT723" i="1"/>
  <c r="AS723" i="1"/>
  <c r="AR723" i="1"/>
  <c r="AQ723" i="1"/>
  <c r="AP723" i="1"/>
  <c r="AO723" i="1"/>
  <c r="AN723" i="1"/>
  <c r="AM723" i="1"/>
  <c r="AL723" i="1"/>
  <c r="AK723" i="1"/>
  <c r="AJ723" i="1"/>
  <c r="AI723" i="1"/>
  <c r="AH723" i="1"/>
  <c r="AG723" i="1"/>
  <c r="AF723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H723" i="1"/>
  <c r="G723" i="1"/>
  <c r="D723" i="1"/>
  <c r="C723" i="1"/>
  <c r="B723" i="1"/>
  <c r="AY722" i="1"/>
  <c r="AX722" i="1"/>
  <c r="AW722" i="1"/>
  <c r="AV722" i="1"/>
  <c r="AU722" i="1"/>
  <c r="AT722" i="1"/>
  <c r="AS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H722" i="1"/>
  <c r="G722" i="1"/>
  <c r="D722" i="1"/>
  <c r="C722" i="1"/>
  <c r="B722" i="1"/>
  <c r="AY721" i="1"/>
  <c r="AX721" i="1"/>
  <c r="AW721" i="1"/>
  <c r="AV721" i="1"/>
  <c r="AU721" i="1"/>
  <c r="AT721" i="1"/>
  <c r="AS721" i="1"/>
  <c r="AR721" i="1"/>
  <c r="AQ721" i="1"/>
  <c r="AP721" i="1"/>
  <c r="AO721" i="1"/>
  <c r="AN721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H721" i="1"/>
  <c r="G721" i="1"/>
  <c r="D721" i="1"/>
  <c r="C721" i="1"/>
  <c r="B721" i="1"/>
  <c r="AY720" i="1"/>
  <c r="AX720" i="1"/>
  <c r="AW720" i="1"/>
  <c r="AV720" i="1"/>
  <c r="AU720" i="1"/>
  <c r="AT720" i="1"/>
  <c r="AS720" i="1"/>
  <c r="AR720" i="1"/>
  <c r="AQ720" i="1"/>
  <c r="AP720" i="1"/>
  <c r="AO720" i="1"/>
  <c r="AN720" i="1"/>
  <c r="AM720" i="1"/>
  <c r="AL720" i="1"/>
  <c r="AK720" i="1"/>
  <c r="AJ720" i="1"/>
  <c r="AI720" i="1"/>
  <c r="AH720" i="1"/>
  <c r="AG720" i="1"/>
  <c r="AF720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H720" i="1"/>
  <c r="G720" i="1"/>
  <c r="D720" i="1"/>
  <c r="C720" i="1"/>
  <c r="B720" i="1"/>
  <c r="AY719" i="1"/>
  <c r="AX719" i="1"/>
  <c r="AW719" i="1"/>
  <c r="AV719" i="1"/>
  <c r="AU719" i="1"/>
  <c r="AT719" i="1"/>
  <c r="AS719" i="1"/>
  <c r="AR719" i="1"/>
  <c r="AQ719" i="1"/>
  <c r="AP719" i="1"/>
  <c r="AO719" i="1"/>
  <c r="AN719" i="1"/>
  <c r="AM719" i="1"/>
  <c r="AL719" i="1"/>
  <c r="AK719" i="1"/>
  <c r="AJ719" i="1"/>
  <c r="AI719" i="1"/>
  <c r="AH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H719" i="1"/>
  <c r="G719" i="1"/>
  <c r="D719" i="1"/>
  <c r="C719" i="1"/>
  <c r="B719" i="1"/>
  <c r="AY718" i="1"/>
  <c r="AX718" i="1"/>
  <c r="AW718" i="1"/>
  <c r="AV718" i="1"/>
  <c r="AU718" i="1"/>
  <c r="AT718" i="1"/>
  <c r="AS718" i="1"/>
  <c r="AR718" i="1"/>
  <c r="AQ718" i="1"/>
  <c r="AP718" i="1"/>
  <c r="AO718" i="1"/>
  <c r="AN718" i="1"/>
  <c r="AM718" i="1"/>
  <c r="AL718" i="1"/>
  <c r="AK718" i="1"/>
  <c r="AJ718" i="1"/>
  <c r="AI718" i="1"/>
  <c r="AH718" i="1"/>
  <c r="AG718" i="1"/>
  <c r="AF718" i="1"/>
  <c r="AE718" i="1"/>
  <c r="AD718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H718" i="1"/>
  <c r="G718" i="1"/>
  <c r="D718" i="1"/>
  <c r="C718" i="1"/>
  <c r="B718" i="1"/>
  <c r="AY709" i="1"/>
  <c r="AX709" i="1"/>
  <c r="AW709" i="1"/>
  <c r="AV709" i="1"/>
  <c r="AU709" i="1"/>
  <c r="AT709" i="1"/>
  <c r="AS709" i="1"/>
  <c r="AR709" i="1"/>
  <c r="AQ709" i="1"/>
  <c r="AP709" i="1"/>
  <c r="AO709" i="1"/>
  <c r="AN709" i="1"/>
  <c r="AM709" i="1"/>
  <c r="AL709" i="1"/>
  <c r="AK709" i="1"/>
  <c r="AJ709" i="1"/>
  <c r="AI709" i="1"/>
  <c r="AH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H709" i="1"/>
  <c r="G709" i="1"/>
  <c r="D709" i="1"/>
  <c r="C709" i="1"/>
  <c r="B709" i="1"/>
  <c r="AY708" i="1"/>
  <c r="AX708" i="1"/>
  <c r="AW708" i="1"/>
  <c r="AV708" i="1"/>
  <c r="AU708" i="1"/>
  <c r="AT708" i="1"/>
  <c r="AS708" i="1"/>
  <c r="AR708" i="1"/>
  <c r="AQ708" i="1"/>
  <c r="AP708" i="1"/>
  <c r="AO708" i="1"/>
  <c r="AN708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H708" i="1"/>
  <c r="G708" i="1"/>
  <c r="D708" i="1"/>
  <c r="C708" i="1"/>
  <c r="B708" i="1"/>
  <c r="AY707" i="1"/>
  <c r="AX707" i="1"/>
  <c r="AW707" i="1"/>
  <c r="AV707" i="1"/>
  <c r="AU707" i="1"/>
  <c r="AT707" i="1"/>
  <c r="AS707" i="1"/>
  <c r="AR707" i="1"/>
  <c r="AQ707" i="1"/>
  <c r="AP707" i="1"/>
  <c r="AO707" i="1"/>
  <c r="AN707" i="1"/>
  <c r="AM707" i="1"/>
  <c r="AL707" i="1"/>
  <c r="AK707" i="1"/>
  <c r="AJ707" i="1"/>
  <c r="AI707" i="1"/>
  <c r="AH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H707" i="1"/>
  <c r="G707" i="1"/>
  <c r="D707" i="1"/>
  <c r="C707" i="1"/>
  <c r="B707" i="1"/>
  <c r="AY706" i="1"/>
  <c r="AX706" i="1"/>
  <c r="AW706" i="1"/>
  <c r="AV706" i="1"/>
  <c r="AU706" i="1"/>
  <c r="AT706" i="1"/>
  <c r="AS706" i="1"/>
  <c r="AR706" i="1"/>
  <c r="AQ706" i="1"/>
  <c r="AP706" i="1"/>
  <c r="AO706" i="1"/>
  <c r="AN706" i="1"/>
  <c r="AM706" i="1"/>
  <c r="AL706" i="1"/>
  <c r="AK706" i="1"/>
  <c r="AJ706" i="1"/>
  <c r="AI706" i="1"/>
  <c r="AH706" i="1"/>
  <c r="AG706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H706" i="1"/>
  <c r="G706" i="1"/>
  <c r="D706" i="1"/>
  <c r="C706" i="1"/>
  <c r="B706" i="1"/>
  <c r="AY705" i="1"/>
  <c r="AX705" i="1"/>
  <c r="AW705" i="1"/>
  <c r="AV705" i="1"/>
  <c r="AU705" i="1"/>
  <c r="AT705" i="1"/>
  <c r="AS705" i="1"/>
  <c r="AR705" i="1"/>
  <c r="AQ705" i="1"/>
  <c r="AP705" i="1"/>
  <c r="AO705" i="1"/>
  <c r="AN705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H705" i="1"/>
  <c r="G705" i="1"/>
  <c r="D705" i="1"/>
  <c r="C705" i="1"/>
  <c r="B705" i="1"/>
  <c r="AY704" i="1"/>
  <c r="AX704" i="1"/>
  <c r="AW704" i="1"/>
  <c r="AV704" i="1"/>
  <c r="AU704" i="1"/>
  <c r="AT704" i="1"/>
  <c r="AS704" i="1"/>
  <c r="AR704" i="1"/>
  <c r="AQ704" i="1"/>
  <c r="AP704" i="1"/>
  <c r="AO704" i="1"/>
  <c r="AN704" i="1"/>
  <c r="AM704" i="1"/>
  <c r="AL704" i="1"/>
  <c r="AK704" i="1"/>
  <c r="AJ704" i="1"/>
  <c r="AI704" i="1"/>
  <c r="AH704" i="1"/>
  <c r="AG704" i="1"/>
  <c r="AF704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H704" i="1"/>
  <c r="G704" i="1"/>
  <c r="D704" i="1"/>
  <c r="C704" i="1"/>
  <c r="B704" i="1"/>
  <c r="AY703" i="1"/>
  <c r="AX703" i="1"/>
  <c r="AW703" i="1"/>
  <c r="AV703" i="1"/>
  <c r="AU703" i="1"/>
  <c r="AT703" i="1"/>
  <c r="AS703" i="1"/>
  <c r="AR703" i="1"/>
  <c r="AQ703" i="1"/>
  <c r="AP703" i="1"/>
  <c r="AO703" i="1"/>
  <c r="AN703" i="1"/>
  <c r="AM703" i="1"/>
  <c r="AL703" i="1"/>
  <c r="AK703" i="1"/>
  <c r="AJ703" i="1"/>
  <c r="AI703" i="1"/>
  <c r="AH703" i="1"/>
  <c r="AG703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H703" i="1"/>
  <c r="G703" i="1"/>
  <c r="D703" i="1"/>
  <c r="C703" i="1"/>
  <c r="B703" i="1"/>
  <c r="AY702" i="1"/>
  <c r="AX702" i="1"/>
  <c r="AW702" i="1"/>
  <c r="AV702" i="1"/>
  <c r="AU702" i="1"/>
  <c r="AT702" i="1"/>
  <c r="AS702" i="1"/>
  <c r="AR702" i="1"/>
  <c r="AQ702" i="1"/>
  <c r="AP702" i="1"/>
  <c r="AO702" i="1"/>
  <c r="AN702" i="1"/>
  <c r="AM702" i="1"/>
  <c r="AL702" i="1"/>
  <c r="AK702" i="1"/>
  <c r="AJ702" i="1"/>
  <c r="AI702" i="1"/>
  <c r="AH702" i="1"/>
  <c r="AG702" i="1"/>
  <c r="AF702" i="1"/>
  <c r="AE702" i="1"/>
  <c r="AD702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H702" i="1"/>
  <c r="G702" i="1"/>
  <c r="D702" i="1"/>
  <c r="C702" i="1"/>
  <c r="B702" i="1"/>
  <c r="AY693" i="1"/>
  <c r="AX693" i="1"/>
  <c r="AW693" i="1"/>
  <c r="AV693" i="1"/>
  <c r="AU693" i="1"/>
  <c r="AT693" i="1"/>
  <c r="AS693" i="1"/>
  <c r="AR693" i="1"/>
  <c r="AQ693" i="1"/>
  <c r="AP693" i="1"/>
  <c r="AO693" i="1"/>
  <c r="AN693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H693" i="1"/>
  <c r="G693" i="1"/>
  <c r="D693" i="1"/>
  <c r="C693" i="1"/>
  <c r="B693" i="1"/>
  <c r="AY692" i="1"/>
  <c r="AX692" i="1"/>
  <c r="AW692" i="1"/>
  <c r="AV692" i="1"/>
  <c r="AU692" i="1"/>
  <c r="AT692" i="1"/>
  <c r="AS692" i="1"/>
  <c r="AR692" i="1"/>
  <c r="AQ692" i="1"/>
  <c r="AP692" i="1"/>
  <c r="AO692" i="1"/>
  <c r="AN692" i="1"/>
  <c r="AM692" i="1"/>
  <c r="AL692" i="1"/>
  <c r="AK692" i="1"/>
  <c r="AJ692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H692" i="1"/>
  <c r="G692" i="1"/>
  <c r="D692" i="1"/>
  <c r="C692" i="1"/>
  <c r="B692" i="1"/>
  <c r="AY691" i="1"/>
  <c r="AX691" i="1"/>
  <c r="AW691" i="1"/>
  <c r="AV691" i="1"/>
  <c r="AU691" i="1"/>
  <c r="AT691" i="1"/>
  <c r="AS691" i="1"/>
  <c r="AR691" i="1"/>
  <c r="AQ691" i="1"/>
  <c r="AP691" i="1"/>
  <c r="AO691" i="1"/>
  <c r="AN691" i="1"/>
  <c r="AM691" i="1"/>
  <c r="AL691" i="1"/>
  <c r="AK691" i="1"/>
  <c r="AJ691" i="1"/>
  <c r="AI691" i="1"/>
  <c r="AH691" i="1"/>
  <c r="AG691" i="1"/>
  <c r="AF691" i="1"/>
  <c r="AE691" i="1"/>
  <c r="AD691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H691" i="1"/>
  <c r="G691" i="1"/>
  <c r="D691" i="1"/>
  <c r="C691" i="1"/>
  <c r="B691" i="1"/>
  <c r="AY682" i="1"/>
  <c r="AX682" i="1"/>
  <c r="AW682" i="1"/>
  <c r="AV682" i="1"/>
  <c r="AU682" i="1"/>
  <c r="AT682" i="1"/>
  <c r="AS682" i="1"/>
  <c r="AR682" i="1"/>
  <c r="AQ682" i="1"/>
  <c r="AP682" i="1"/>
  <c r="AO682" i="1"/>
  <c r="AN682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H682" i="1"/>
  <c r="G682" i="1"/>
  <c r="D682" i="1"/>
  <c r="C682" i="1"/>
  <c r="B682" i="1"/>
  <c r="AY681" i="1"/>
  <c r="AX681" i="1"/>
  <c r="AW681" i="1"/>
  <c r="AV681" i="1"/>
  <c r="AU681" i="1"/>
  <c r="AT681" i="1"/>
  <c r="AS681" i="1"/>
  <c r="AR681" i="1"/>
  <c r="AQ681" i="1"/>
  <c r="AP681" i="1"/>
  <c r="AO681" i="1"/>
  <c r="AN681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H681" i="1"/>
  <c r="G681" i="1"/>
  <c r="D681" i="1"/>
  <c r="C681" i="1"/>
  <c r="B681" i="1"/>
  <c r="AY680" i="1"/>
  <c r="AX680" i="1"/>
  <c r="AW680" i="1"/>
  <c r="AV680" i="1"/>
  <c r="AU680" i="1"/>
  <c r="AT680" i="1"/>
  <c r="AS680" i="1"/>
  <c r="AR680" i="1"/>
  <c r="AQ680" i="1"/>
  <c r="AP680" i="1"/>
  <c r="AO680" i="1"/>
  <c r="AN680" i="1"/>
  <c r="AM680" i="1"/>
  <c r="AL680" i="1"/>
  <c r="AK680" i="1"/>
  <c r="AJ680" i="1"/>
  <c r="AI680" i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H680" i="1"/>
  <c r="G680" i="1"/>
  <c r="D680" i="1"/>
  <c r="C680" i="1"/>
  <c r="B680" i="1"/>
  <c r="AY679" i="1"/>
  <c r="AX679" i="1"/>
  <c r="AW679" i="1"/>
  <c r="AV679" i="1"/>
  <c r="AU679" i="1"/>
  <c r="AT679" i="1"/>
  <c r="AS679" i="1"/>
  <c r="AR679" i="1"/>
  <c r="AQ679" i="1"/>
  <c r="AP679" i="1"/>
  <c r="AO679" i="1"/>
  <c r="AN679" i="1"/>
  <c r="AM679" i="1"/>
  <c r="AL679" i="1"/>
  <c r="AK679" i="1"/>
  <c r="AJ679" i="1"/>
  <c r="AI679" i="1"/>
  <c r="AH679" i="1"/>
  <c r="AG679" i="1"/>
  <c r="AF679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H679" i="1"/>
  <c r="G679" i="1"/>
  <c r="D679" i="1"/>
  <c r="C679" i="1"/>
  <c r="B679" i="1"/>
  <c r="AY678" i="1"/>
  <c r="AX678" i="1"/>
  <c r="AW678" i="1"/>
  <c r="AV678" i="1"/>
  <c r="AU678" i="1"/>
  <c r="AT678" i="1"/>
  <c r="AS678" i="1"/>
  <c r="AR678" i="1"/>
  <c r="AQ678" i="1"/>
  <c r="AP678" i="1"/>
  <c r="AO678" i="1"/>
  <c r="AN678" i="1"/>
  <c r="AM678" i="1"/>
  <c r="AL678" i="1"/>
  <c r="AK678" i="1"/>
  <c r="AJ678" i="1"/>
  <c r="AI678" i="1"/>
  <c r="AH678" i="1"/>
  <c r="AG678" i="1"/>
  <c r="AF678" i="1"/>
  <c r="AE678" i="1"/>
  <c r="AD678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H678" i="1"/>
  <c r="G678" i="1"/>
  <c r="D678" i="1"/>
  <c r="C678" i="1"/>
  <c r="B678" i="1"/>
  <c r="AY669" i="1"/>
  <c r="AX669" i="1"/>
  <c r="AW669" i="1"/>
  <c r="AV669" i="1"/>
  <c r="AU669" i="1"/>
  <c r="AT669" i="1"/>
  <c r="AS669" i="1"/>
  <c r="AR669" i="1"/>
  <c r="AQ669" i="1"/>
  <c r="AP669" i="1"/>
  <c r="AO669" i="1"/>
  <c r="AN669" i="1"/>
  <c r="AM669" i="1"/>
  <c r="AL669" i="1"/>
  <c r="AK669" i="1"/>
  <c r="AJ669" i="1"/>
  <c r="AI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H669" i="1"/>
  <c r="G669" i="1"/>
  <c r="D669" i="1"/>
  <c r="C669" i="1"/>
  <c r="B669" i="1"/>
  <c r="AY668" i="1"/>
  <c r="AX668" i="1"/>
  <c r="AW668" i="1"/>
  <c r="AV668" i="1"/>
  <c r="AU668" i="1"/>
  <c r="AT668" i="1"/>
  <c r="AS668" i="1"/>
  <c r="AR668" i="1"/>
  <c r="AQ668" i="1"/>
  <c r="AP668" i="1"/>
  <c r="AO668" i="1"/>
  <c r="AN668" i="1"/>
  <c r="AM668" i="1"/>
  <c r="AL668" i="1"/>
  <c r="AK668" i="1"/>
  <c r="AJ668" i="1"/>
  <c r="AI668" i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H668" i="1"/>
  <c r="G668" i="1"/>
  <c r="D668" i="1"/>
  <c r="C668" i="1"/>
  <c r="B668" i="1"/>
  <c r="AY667" i="1"/>
  <c r="AX667" i="1"/>
  <c r="AW667" i="1"/>
  <c r="AV667" i="1"/>
  <c r="AU667" i="1"/>
  <c r="AT667" i="1"/>
  <c r="AS667" i="1"/>
  <c r="AR667" i="1"/>
  <c r="AQ667" i="1"/>
  <c r="AP667" i="1"/>
  <c r="AO667" i="1"/>
  <c r="AN667" i="1"/>
  <c r="AM667" i="1"/>
  <c r="AL667" i="1"/>
  <c r="AK667" i="1"/>
  <c r="AJ667" i="1"/>
  <c r="AI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H667" i="1"/>
  <c r="G667" i="1"/>
  <c r="D667" i="1"/>
  <c r="C667" i="1"/>
  <c r="B667" i="1"/>
  <c r="AY666" i="1"/>
  <c r="AX666" i="1"/>
  <c r="AW666" i="1"/>
  <c r="AV666" i="1"/>
  <c r="AU666" i="1"/>
  <c r="AT666" i="1"/>
  <c r="AS666" i="1"/>
  <c r="AR666" i="1"/>
  <c r="AQ666" i="1"/>
  <c r="AP666" i="1"/>
  <c r="AO666" i="1"/>
  <c r="AN666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H666" i="1"/>
  <c r="G666" i="1"/>
  <c r="D666" i="1"/>
  <c r="C666" i="1"/>
  <c r="B666" i="1"/>
  <c r="AY665" i="1"/>
  <c r="AX665" i="1"/>
  <c r="AW665" i="1"/>
  <c r="AV665" i="1"/>
  <c r="AU665" i="1"/>
  <c r="AT665" i="1"/>
  <c r="AS665" i="1"/>
  <c r="AR665" i="1"/>
  <c r="AQ665" i="1"/>
  <c r="AP665" i="1"/>
  <c r="AO665" i="1"/>
  <c r="AN665" i="1"/>
  <c r="AM665" i="1"/>
  <c r="AL665" i="1"/>
  <c r="AK665" i="1"/>
  <c r="AJ665" i="1"/>
  <c r="AI665" i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H665" i="1"/>
  <c r="G665" i="1"/>
  <c r="D665" i="1"/>
  <c r="C665" i="1"/>
  <c r="B665" i="1"/>
  <c r="AY664" i="1"/>
  <c r="AX664" i="1"/>
  <c r="AW664" i="1"/>
  <c r="AV664" i="1"/>
  <c r="AU664" i="1"/>
  <c r="AT664" i="1"/>
  <c r="AS664" i="1"/>
  <c r="AR664" i="1"/>
  <c r="AQ664" i="1"/>
  <c r="AP664" i="1"/>
  <c r="AO664" i="1"/>
  <c r="AN664" i="1"/>
  <c r="AM664" i="1"/>
  <c r="AL664" i="1"/>
  <c r="AK664" i="1"/>
  <c r="AJ664" i="1"/>
  <c r="AI664" i="1"/>
  <c r="AH664" i="1"/>
  <c r="AG664" i="1"/>
  <c r="AF664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H664" i="1"/>
  <c r="G664" i="1"/>
  <c r="D664" i="1"/>
  <c r="C664" i="1"/>
  <c r="B664" i="1"/>
  <c r="AY663" i="1"/>
  <c r="AX663" i="1"/>
  <c r="AW663" i="1"/>
  <c r="AV663" i="1"/>
  <c r="AU663" i="1"/>
  <c r="AT663" i="1"/>
  <c r="AS663" i="1"/>
  <c r="AR663" i="1"/>
  <c r="AQ663" i="1"/>
  <c r="AP663" i="1"/>
  <c r="AO663" i="1"/>
  <c r="AN663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H663" i="1"/>
  <c r="G663" i="1"/>
  <c r="D663" i="1"/>
  <c r="C663" i="1"/>
  <c r="B663" i="1"/>
  <c r="AY662" i="1"/>
  <c r="AX662" i="1"/>
  <c r="AW662" i="1"/>
  <c r="AV662" i="1"/>
  <c r="AU662" i="1"/>
  <c r="AT662" i="1"/>
  <c r="AS662" i="1"/>
  <c r="AR662" i="1"/>
  <c r="AQ662" i="1"/>
  <c r="AP662" i="1"/>
  <c r="AO662" i="1"/>
  <c r="AN662" i="1"/>
  <c r="AM662" i="1"/>
  <c r="AL662" i="1"/>
  <c r="AK662" i="1"/>
  <c r="AJ662" i="1"/>
  <c r="AI662" i="1"/>
  <c r="AH662" i="1"/>
  <c r="AG662" i="1"/>
  <c r="AF662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H662" i="1"/>
  <c r="G662" i="1"/>
  <c r="D662" i="1"/>
  <c r="C662" i="1"/>
  <c r="B662" i="1"/>
  <c r="AY661" i="1"/>
  <c r="AX661" i="1"/>
  <c r="AW661" i="1"/>
  <c r="AV661" i="1"/>
  <c r="AU661" i="1"/>
  <c r="AT661" i="1"/>
  <c r="AS661" i="1"/>
  <c r="AR661" i="1"/>
  <c r="AQ661" i="1"/>
  <c r="AP661" i="1"/>
  <c r="AO661" i="1"/>
  <c r="AN661" i="1"/>
  <c r="AM661" i="1"/>
  <c r="AL661" i="1"/>
  <c r="AK661" i="1"/>
  <c r="AJ661" i="1"/>
  <c r="AI661" i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H661" i="1"/>
  <c r="G661" i="1"/>
  <c r="D661" i="1"/>
  <c r="C661" i="1"/>
  <c r="B661" i="1"/>
  <c r="AY660" i="1"/>
  <c r="AX660" i="1"/>
  <c r="AW660" i="1"/>
  <c r="AV660" i="1"/>
  <c r="AU660" i="1"/>
  <c r="AT660" i="1"/>
  <c r="AS660" i="1"/>
  <c r="AR660" i="1"/>
  <c r="AQ660" i="1"/>
  <c r="AP660" i="1"/>
  <c r="AO660" i="1"/>
  <c r="AN660" i="1"/>
  <c r="AM660" i="1"/>
  <c r="AL660" i="1"/>
  <c r="AK660" i="1"/>
  <c r="AJ660" i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H660" i="1"/>
  <c r="G660" i="1"/>
  <c r="D660" i="1"/>
  <c r="C660" i="1"/>
  <c r="B660" i="1"/>
  <c r="AY659" i="1"/>
  <c r="AX659" i="1"/>
  <c r="AW659" i="1"/>
  <c r="AV659" i="1"/>
  <c r="AU659" i="1"/>
  <c r="AT659" i="1"/>
  <c r="AS659" i="1"/>
  <c r="AR659" i="1"/>
  <c r="AQ659" i="1"/>
  <c r="AP659" i="1"/>
  <c r="AO659" i="1"/>
  <c r="AN659" i="1"/>
  <c r="AM659" i="1"/>
  <c r="AL659" i="1"/>
  <c r="AK659" i="1"/>
  <c r="AJ659" i="1"/>
  <c r="AI659" i="1"/>
  <c r="AH659" i="1"/>
  <c r="AG659" i="1"/>
  <c r="AF659" i="1"/>
  <c r="AE659" i="1"/>
  <c r="AD659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H659" i="1"/>
  <c r="G659" i="1"/>
  <c r="D659" i="1"/>
  <c r="C659" i="1"/>
  <c r="B659" i="1"/>
  <c r="AY650" i="1"/>
  <c r="AX650" i="1"/>
  <c r="AW650" i="1"/>
  <c r="AV650" i="1"/>
  <c r="AU650" i="1"/>
  <c r="AT650" i="1"/>
  <c r="AS650" i="1"/>
  <c r="AR650" i="1"/>
  <c r="AQ650" i="1"/>
  <c r="AP650" i="1"/>
  <c r="AO650" i="1"/>
  <c r="AN650" i="1"/>
  <c r="AM650" i="1"/>
  <c r="AL650" i="1"/>
  <c r="AK650" i="1"/>
  <c r="AJ650" i="1"/>
  <c r="AI650" i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H650" i="1"/>
  <c r="G650" i="1"/>
  <c r="D650" i="1"/>
  <c r="C650" i="1"/>
  <c r="B650" i="1"/>
  <c r="AY649" i="1"/>
  <c r="AX649" i="1"/>
  <c r="AW649" i="1"/>
  <c r="AV649" i="1"/>
  <c r="AU649" i="1"/>
  <c r="AT649" i="1"/>
  <c r="AS649" i="1"/>
  <c r="AR649" i="1"/>
  <c r="AQ649" i="1"/>
  <c r="AP649" i="1"/>
  <c r="AO649" i="1"/>
  <c r="AN649" i="1"/>
  <c r="AM649" i="1"/>
  <c r="AL649" i="1"/>
  <c r="AK649" i="1"/>
  <c r="AJ649" i="1"/>
  <c r="AI649" i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H649" i="1"/>
  <c r="G649" i="1"/>
  <c r="D649" i="1"/>
  <c r="C649" i="1"/>
  <c r="B649" i="1"/>
  <c r="AY648" i="1"/>
  <c r="AX648" i="1"/>
  <c r="AW648" i="1"/>
  <c r="AV648" i="1"/>
  <c r="AU648" i="1"/>
  <c r="AT648" i="1"/>
  <c r="AS648" i="1"/>
  <c r="AR648" i="1"/>
  <c r="AQ648" i="1"/>
  <c r="AP648" i="1"/>
  <c r="AO648" i="1"/>
  <c r="AN648" i="1"/>
  <c r="AM648" i="1"/>
  <c r="AL648" i="1"/>
  <c r="AK648" i="1"/>
  <c r="AJ648" i="1"/>
  <c r="AI648" i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H648" i="1"/>
  <c r="G648" i="1"/>
  <c r="D648" i="1"/>
  <c r="C648" i="1"/>
  <c r="B648" i="1"/>
  <c r="AY647" i="1"/>
  <c r="AX647" i="1"/>
  <c r="AW647" i="1"/>
  <c r="AV647" i="1"/>
  <c r="AU647" i="1"/>
  <c r="AT647" i="1"/>
  <c r="AS647" i="1"/>
  <c r="AR647" i="1"/>
  <c r="AQ647" i="1"/>
  <c r="AP647" i="1"/>
  <c r="AO647" i="1"/>
  <c r="AN647" i="1"/>
  <c r="AM647" i="1"/>
  <c r="AL647" i="1"/>
  <c r="AK647" i="1"/>
  <c r="AJ647" i="1"/>
  <c r="AI647" i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H647" i="1"/>
  <c r="G647" i="1"/>
  <c r="D647" i="1"/>
  <c r="C647" i="1"/>
  <c r="B647" i="1"/>
  <c r="AY646" i="1"/>
  <c r="AX646" i="1"/>
  <c r="AW646" i="1"/>
  <c r="AV646" i="1"/>
  <c r="AU646" i="1"/>
  <c r="AT646" i="1"/>
  <c r="AS646" i="1"/>
  <c r="AR646" i="1"/>
  <c r="AQ646" i="1"/>
  <c r="AP646" i="1"/>
  <c r="AO646" i="1"/>
  <c r="AN646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H646" i="1"/>
  <c r="G646" i="1"/>
  <c r="D646" i="1"/>
  <c r="C646" i="1"/>
  <c r="B646" i="1"/>
  <c r="AY645" i="1"/>
  <c r="AX645" i="1"/>
  <c r="AW645" i="1"/>
  <c r="AV645" i="1"/>
  <c r="AU645" i="1"/>
  <c r="AT645" i="1"/>
  <c r="AS645" i="1"/>
  <c r="AR645" i="1"/>
  <c r="AQ645" i="1"/>
  <c r="AP645" i="1"/>
  <c r="AO645" i="1"/>
  <c r="AN645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H645" i="1"/>
  <c r="G645" i="1"/>
  <c r="D645" i="1"/>
  <c r="C645" i="1"/>
  <c r="B645" i="1"/>
  <c r="AY644" i="1"/>
  <c r="AX644" i="1"/>
  <c r="AW644" i="1"/>
  <c r="AV644" i="1"/>
  <c r="AU644" i="1"/>
  <c r="AT644" i="1"/>
  <c r="AS644" i="1"/>
  <c r="AR644" i="1"/>
  <c r="AQ644" i="1"/>
  <c r="AP644" i="1"/>
  <c r="AO644" i="1"/>
  <c r="AN644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H644" i="1"/>
  <c r="G644" i="1"/>
  <c r="D644" i="1"/>
  <c r="C644" i="1"/>
  <c r="B644" i="1"/>
  <c r="AY643" i="1"/>
  <c r="AX643" i="1"/>
  <c r="AW643" i="1"/>
  <c r="AV643" i="1"/>
  <c r="AU643" i="1"/>
  <c r="AT643" i="1"/>
  <c r="AS643" i="1"/>
  <c r="AR643" i="1"/>
  <c r="AQ643" i="1"/>
  <c r="AP643" i="1"/>
  <c r="AO643" i="1"/>
  <c r="AN643" i="1"/>
  <c r="AM643" i="1"/>
  <c r="AL643" i="1"/>
  <c r="AK643" i="1"/>
  <c r="AJ643" i="1"/>
  <c r="AI643" i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H643" i="1"/>
  <c r="G643" i="1"/>
  <c r="D643" i="1"/>
  <c r="C643" i="1"/>
  <c r="B643" i="1"/>
  <c r="AY642" i="1"/>
  <c r="AX642" i="1"/>
  <c r="AW642" i="1"/>
  <c r="AV642" i="1"/>
  <c r="AU642" i="1"/>
  <c r="AT642" i="1"/>
  <c r="AS642" i="1"/>
  <c r="AR642" i="1"/>
  <c r="AQ642" i="1"/>
  <c r="AP642" i="1"/>
  <c r="AO642" i="1"/>
  <c r="AN642" i="1"/>
  <c r="AM642" i="1"/>
  <c r="AL642" i="1"/>
  <c r="AK642" i="1"/>
  <c r="AJ642" i="1"/>
  <c r="AI642" i="1"/>
  <c r="AH642" i="1"/>
  <c r="AG642" i="1"/>
  <c r="AF642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H642" i="1"/>
  <c r="G642" i="1"/>
  <c r="D642" i="1"/>
  <c r="C642" i="1"/>
  <c r="B642" i="1"/>
  <c r="AY641" i="1"/>
  <c r="AX641" i="1"/>
  <c r="AW641" i="1"/>
  <c r="AV641" i="1"/>
  <c r="AU641" i="1"/>
  <c r="AT641" i="1"/>
  <c r="AS641" i="1"/>
  <c r="AR641" i="1"/>
  <c r="AQ641" i="1"/>
  <c r="AP641" i="1"/>
  <c r="AO641" i="1"/>
  <c r="AN641" i="1"/>
  <c r="AM641" i="1"/>
  <c r="AL641" i="1"/>
  <c r="AK641" i="1"/>
  <c r="AJ641" i="1"/>
  <c r="AI641" i="1"/>
  <c r="AH641" i="1"/>
  <c r="AG641" i="1"/>
  <c r="AF641" i="1"/>
  <c r="AE641" i="1"/>
  <c r="AD641" i="1"/>
  <c r="AC641" i="1"/>
  <c r="AB641" i="1"/>
  <c r="AA641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H641" i="1"/>
  <c r="G641" i="1"/>
  <c r="D641" i="1"/>
  <c r="C641" i="1"/>
  <c r="B641" i="1"/>
  <c r="AY632" i="1"/>
  <c r="AX632" i="1"/>
  <c r="AW632" i="1"/>
  <c r="AV632" i="1"/>
  <c r="AU632" i="1"/>
  <c r="AT632" i="1"/>
  <c r="AS632" i="1"/>
  <c r="AR632" i="1"/>
  <c r="AQ632" i="1"/>
  <c r="AP632" i="1"/>
  <c r="AO632" i="1"/>
  <c r="AN632" i="1"/>
  <c r="AM632" i="1"/>
  <c r="AL632" i="1"/>
  <c r="AK632" i="1"/>
  <c r="AJ632" i="1"/>
  <c r="AI632" i="1"/>
  <c r="AH632" i="1"/>
  <c r="AG632" i="1"/>
  <c r="AF632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H632" i="1"/>
  <c r="G632" i="1"/>
  <c r="D632" i="1"/>
  <c r="C632" i="1"/>
  <c r="B632" i="1"/>
  <c r="AY631" i="1"/>
  <c r="AX631" i="1"/>
  <c r="AW631" i="1"/>
  <c r="AV631" i="1"/>
  <c r="AU631" i="1"/>
  <c r="AT631" i="1"/>
  <c r="AS631" i="1"/>
  <c r="AR631" i="1"/>
  <c r="AQ631" i="1"/>
  <c r="AP631" i="1"/>
  <c r="AO631" i="1"/>
  <c r="AN631" i="1"/>
  <c r="AM631" i="1"/>
  <c r="AL631" i="1"/>
  <c r="AK631" i="1"/>
  <c r="AJ631" i="1"/>
  <c r="AI631" i="1"/>
  <c r="AH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H631" i="1"/>
  <c r="G631" i="1"/>
  <c r="D631" i="1"/>
  <c r="C631" i="1"/>
  <c r="B631" i="1"/>
  <c r="AY630" i="1"/>
  <c r="AX630" i="1"/>
  <c r="AW630" i="1"/>
  <c r="AV630" i="1"/>
  <c r="AU630" i="1"/>
  <c r="AT630" i="1"/>
  <c r="AS630" i="1"/>
  <c r="AR630" i="1"/>
  <c r="AQ630" i="1"/>
  <c r="AP630" i="1"/>
  <c r="AO630" i="1"/>
  <c r="AN630" i="1"/>
  <c r="AM630" i="1"/>
  <c r="AL630" i="1"/>
  <c r="AK630" i="1"/>
  <c r="AJ630" i="1"/>
  <c r="AI630" i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H630" i="1"/>
  <c r="G630" i="1"/>
  <c r="D630" i="1"/>
  <c r="C630" i="1"/>
  <c r="B630" i="1"/>
  <c r="AY629" i="1"/>
  <c r="AX629" i="1"/>
  <c r="AW629" i="1"/>
  <c r="AV629" i="1"/>
  <c r="AU629" i="1"/>
  <c r="AT629" i="1"/>
  <c r="AS629" i="1"/>
  <c r="AR629" i="1"/>
  <c r="AQ629" i="1"/>
  <c r="AP629" i="1"/>
  <c r="AO629" i="1"/>
  <c r="AN629" i="1"/>
  <c r="AM629" i="1"/>
  <c r="AL629" i="1"/>
  <c r="AK629" i="1"/>
  <c r="AJ629" i="1"/>
  <c r="AI629" i="1"/>
  <c r="AH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H629" i="1"/>
  <c r="G629" i="1"/>
  <c r="D629" i="1"/>
  <c r="C629" i="1"/>
  <c r="B629" i="1"/>
  <c r="AY628" i="1"/>
  <c r="AX628" i="1"/>
  <c r="AW628" i="1"/>
  <c r="AV628" i="1"/>
  <c r="AU628" i="1"/>
  <c r="AT628" i="1"/>
  <c r="AS628" i="1"/>
  <c r="AR628" i="1"/>
  <c r="AQ628" i="1"/>
  <c r="AP628" i="1"/>
  <c r="AO628" i="1"/>
  <c r="AN628" i="1"/>
  <c r="AM628" i="1"/>
  <c r="AL628" i="1"/>
  <c r="AK628" i="1"/>
  <c r="AJ628" i="1"/>
  <c r="AI628" i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H628" i="1"/>
  <c r="G628" i="1"/>
  <c r="D628" i="1"/>
  <c r="C628" i="1"/>
  <c r="B628" i="1"/>
  <c r="AY627" i="1"/>
  <c r="AX627" i="1"/>
  <c r="AW627" i="1"/>
  <c r="AV627" i="1"/>
  <c r="AU627" i="1"/>
  <c r="AT627" i="1"/>
  <c r="AS627" i="1"/>
  <c r="AR627" i="1"/>
  <c r="AQ627" i="1"/>
  <c r="AP627" i="1"/>
  <c r="AO627" i="1"/>
  <c r="AN627" i="1"/>
  <c r="AM627" i="1"/>
  <c r="AL627" i="1"/>
  <c r="AK627" i="1"/>
  <c r="AJ627" i="1"/>
  <c r="AI627" i="1"/>
  <c r="AH627" i="1"/>
  <c r="AG627" i="1"/>
  <c r="AF627" i="1"/>
  <c r="AE627" i="1"/>
  <c r="AD627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H627" i="1"/>
  <c r="G627" i="1"/>
  <c r="D627" i="1"/>
  <c r="C627" i="1"/>
  <c r="B627" i="1"/>
  <c r="AY626" i="1"/>
  <c r="AX626" i="1"/>
  <c r="AW626" i="1"/>
  <c r="AV626" i="1"/>
  <c r="AU626" i="1"/>
  <c r="AT626" i="1"/>
  <c r="AS626" i="1"/>
  <c r="AR626" i="1"/>
  <c r="AQ626" i="1"/>
  <c r="AP626" i="1"/>
  <c r="AO626" i="1"/>
  <c r="AN626" i="1"/>
  <c r="AM626" i="1"/>
  <c r="AL626" i="1"/>
  <c r="AK626" i="1"/>
  <c r="AJ626" i="1"/>
  <c r="AI626" i="1"/>
  <c r="AH626" i="1"/>
  <c r="AG626" i="1"/>
  <c r="AF626" i="1"/>
  <c r="AE626" i="1"/>
  <c r="AD626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H626" i="1"/>
  <c r="G626" i="1"/>
  <c r="D626" i="1"/>
  <c r="C626" i="1"/>
  <c r="B626" i="1"/>
  <c r="AY617" i="1"/>
  <c r="AX617" i="1"/>
  <c r="AW617" i="1"/>
  <c r="AV617" i="1"/>
  <c r="AU617" i="1"/>
  <c r="AT617" i="1"/>
  <c r="AS617" i="1"/>
  <c r="AR617" i="1"/>
  <c r="AQ617" i="1"/>
  <c r="AP617" i="1"/>
  <c r="AO617" i="1"/>
  <c r="AN617" i="1"/>
  <c r="AM617" i="1"/>
  <c r="AL617" i="1"/>
  <c r="AK617" i="1"/>
  <c r="AJ617" i="1"/>
  <c r="AI617" i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H617" i="1"/>
  <c r="G617" i="1"/>
  <c r="D617" i="1"/>
  <c r="C617" i="1"/>
  <c r="B617" i="1"/>
  <c r="AY616" i="1"/>
  <c r="AX616" i="1"/>
  <c r="AW616" i="1"/>
  <c r="AV616" i="1"/>
  <c r="AU616" i="1"/>
  <c r="AT616" i="1"/>
  <c r="AS616" i="1"/>
  <c r="AR616" i="1"/>
  <c r="AQ616" i="1"/>
  <c r="AP616" i="1"/>
  <c r="AO616" i="1"/>
  <c r="AN616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H616" i="1"/>
  <c r="G616" i="1"/>
  <c r="D616" i="1"/>
  <c r="C616" i="1"/>
  <c r="B616" i="1"/>
  <c r="AY615" i="1"/>
  <c r="AX615" i="1"/>
  <c r="AW615" i="1"/>
  <c r="AV615" i="1"/>
  <c r="AU615" i="1"/>
  <c r="AT615" i="1"/>
  <c r="AS615" i="1"/>
  <c r="AR615" i="1"/>
  <c r="AQ615" i="1"/>
  <c r="AP615" i="1"/>
  <c r="AO615" i="1"/>
  <c r="AN615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H615" i="1"/>
  <c r="G615" i="1"/>
  <c r="D615" i="1"/>
  <c r="C615" i="1"/>
  <c r="B615" i="1"/>
  <c r="AY614" i="1"/>
  <c r="AX614" i="1"/>
  <c r="AW614" i="1"/>
  <c r="AV614" i="1"/>
  <c r="AU614" i="1"/>
  <c r="AT614" i="1"/>
  <c r="AS614" i="1"/>
  <c r="AR614" i="1"/>
  <c r="AQ614" i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H614" i="1"/>
  <c r="G614" i="1"/>
  <c r="D614" i="1"/>
  <c r="C614" i="1"/>
  <c r="B614" i="1"/>
  <c r="AY613" i="1"/>
  <c r="AX613" i="1"/>
  <c r="AW613" i="1"/>
  <c r="AV613" i="1"/>
  <c r="AU613" i="1"/>
  <c r="AT613" i="1"/>
  <c r="AS613" i="1"/>
  <c r="AR613" i="1"/>
  <c r="AQ613" i="1"/>
  <c r="AP613" i="1"/>
  <c r="AO613" i="1"/>
  <c r="AN613" i="1"/>
  <c r="AM613" i="1"/>
  <c r="AL613" i="1"/>
  <c r="AK613" i="1"/>
  <c r="AJ613" i="1"/>
  <c r="AI613" i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H613" i="1"/>
  <c r="G613" i="1"/>
  <c r="D613" i="1"/>
  <c r="C613" i="1"/>
  <c r="B613" i="1"/>
  <c r="AY612" i="1"/>
  <c r="AX612" i="1"/>
  <c r="AW612" i="1"/>
  <c r="AV612" i="1"/>
  <c r="AU612" i="1"/>
  <c r="AT612" i="1"/>
  <c r="AS612" i="1"/>
  <c r="AR612" i="1"/>
  <c r="AQ612" i="1"/>
  <c r="AP612" i="1"/>
  <c r="AO612" i="1"/>
  <c r="AN612" i="1"/>
  <c r="AM612" i="1"/>
  <c r="AL612" i="1"/>
  <c r="AK612" i="1"/>
  <c r="AJ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H612" i="1"/>
  <c r="G612" i="1"/>
  <c r="D612" i="1"/>
  <c r="C612" i="1"/>
  <c r="B612" i="1"/>
  <c r="AY611" i="1"/>
  <c r="AX611" i="1"/>
  <c r="AW611" i="1"/>
  <c r="AV611" i="1"/>
  <c r="AU611" i="1"/>
  <c r="AT611" i="1"/>
  <c r="AS611" i="1"/>
  <c r="AR611" i="1"/>
  <c r="AQ611" i="1"/>
  <c r="AP611" i="1"/>
  <c r="AO611" i="1"/>
  <c r="AN611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H611" i="1"/>
  <c r="G611" i="1"/>
  <c r="D611" i="1"/>
  <c r="C611" i="1"/>
  <c r="B611" i="1"/>
  <c r="AY610" i="1"/>
  <c r="AX610" i="1"/>
  <c r="AW610" i="1"/>
  <c r="AV610" i="1"/>
  <c r="AU610" i="1"/>
  <c r="AT610" i="1"/>
  <c r="AS610" i="1"/>
  <c r="AR610" i="1"/>
  <c r="AQ610" i="1"/>
  <c r="AP610" i="1"/>
  <c r="AO610" i="1"/>
  <c r="AN610" i="1"/>
  <c r="AM610" i="1"/>
  <c r="AL610" i="1"/>
  <c r="AK610" i="1"/>
  <c r="AJ610" i="1"/>
  <c r="AI610" i="1"/>
  <c r="AH610" i="1"/>
  <c r="AG610" i="1"/>
  <c r="AF610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H610" i="1"/>
  <c r="G610" i="1"/>
  <c r="D610" i="1"/>
  <c r="C610" i="1"/>
  <c r="B610" i="1"/>
  <c r="AY601" i="1"/>
  <c r="AX601" i="1"/>
  <c r="AW601" i="1"/>
  <c r="AV601" i="1"/>
  <c r="AU601" i="1"/>
  <c r="AT601" i="1"/>
  <c r="AS601" i="1"/>
  <c r="AR601" i="1"/>
  <c r="AQ601" i="1"/>
  <c r="AP601" i="1"/>
  <c r="AO601" i="1"/>
  <c r="AN601" i="1"/>
  <c r="AM601" i="1"/>
  <c r="AL601" i="1"/>
  <c r="AK601" i="1"/>
  <c r="AJ601" i="1"/>
  <c r="AI601" i="1"/>
  <c r="AH601" i="1"/>
  <c r="AG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H601" i="1"/>
  <c r="G601" i="1"/>
  <c r="D601" i="1"/>
  <c r="C601" i="1"/>
  <c r="B601" i="1"/>
  <c r="AY600" i="1"/>
  <c r="AX600" i="1"/>
  <c r="AW600" i="1"/>
  <c r="AV600" i="1"/>
  <c r="AU600" i="1"/>
  <c r="AT600" i="1"/>
  <c r="AS600" i="1"/>
  <c r="AR600" i="1"/>
  <c r="AQ600" i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H600" i="1"/>
  <c r="G600" i="1"/>
  <c r="D600" i="1"/>
  <c r="C600" i="1"/>
  <c r="B600" i="1"/>
  <c r="AY599" i="1"/>
  <c r="AX599" i="1"/>
  <c r="AW599" i="1"/>
  <c r="AV599" i="1"/>
  <c r="AU599" i="1"/>
  <c r="AT599" i="1"/>
  <c r="AS599" i="1"/>
  <c r="AR599" i="1"/>
  <c r="AQ599" i="1"/>
  <c r="AP599" i="1"/>
  <c r="AO599" i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H599" i="1"/>
  <c r="G599" i="1"/>
  <c r="D599" i="1"/>
  <c r="C599" i="1"/>
  <c r="B599" i="1"/>
  <c r="AY598" i="1"/>
  <c r="AX598" i="1"/>
  <c r="AW598" i="1"/>
  <c r="AV598" i="1"/>
  <c r="AU598" i="1"/>
  <c r="AT598" i="1"/>
  <c r="AS598" i="1"/>
  <c r="AR598" i="1"/>
  <c r="AQ598" i="1"/>
  <c r="AP598" i="1"/>
  <c r="AO598" i="1"/>
  <c r="AN598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H598" i="1"/>
  <c r="G598" i="1"/>
  <c r="D598" i="1"/>
  <c r="C598" i="1"/>
  <c r="B598" i="1"/>
  <c r="AY597" i="1"/>
  <c r="AX597" i="1"/>
  <c r="AW597" i="1"/>
  <c r="AV597" i="1"/>
  <c r="AU597" i="1"/>
  <c r="AT597" i="1"/>
  <c r="AS597" i="1"/>
  <c r="AR597" i="1"/>
  <c r="AQ597" i="1"/>
  <c r="AP597" i="1"/>
  <c r="AO597" i="1"/>
  <c r="AN597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H597" i="1"/>
  <c r="G597" i="1"/>
  <c r="D597" i="1"/>
  <c r="C597" i="1"/>
  <c r="B597" i="1"/>
  <c r="AY596" i="1"/>
  <c r="AX596" i="1"/>
  <c r="AW596" i="1"/>
  <c r="AV596" i="1"/>
  <c r="AU596" i="1"/>
  <c r="AT596" i="1"/>
  <c r="AS596" i="1"/>
  <c r="AR596" i="1"/>
  <c r="AQ596" i="1"/>
  <c r="AP596" i="1"/>
  <c r="AO596" i="1"/>
  <c r="AN596" i="1"/>
  <c r="AM596" i="1"/>
  <c r="AL596" i="1"/>
  <c r="AK596" i="1"/>
  <c r="AJ596" i="1"/>
  <c r="AI596" i="1"/>
  <c r="AH596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H596" i="1"/>
  <c r="G596" i="1"/>
  <c r="D596" i="1"/>
  <c r="C596" i="1"/>
  <c r="B596" i="1"/>
  <c r="AY587" i="1"/>
  <c r="AX587" i="1"/>
  <c r="AW587" i="1"/>
  <c r="AV587" i="1"/>
  <c r="AU587" i="1"/>
  <c r="AT587" i="1"/>
  <c r="AS587" i="1"/>
  <c r="AR587" i="1"/>
  <c r="AQ587" i="1"/>
  <c r="AP587" i="1"/>
  <c r="AO587" i="1"/>
  <c r="AN587" i="1"/>
  <c r="AM587" i="1"/>
  <c r="AL587" i="1"/>
  <c r="AK587" i="1"/>
  <c r="AJ587" i="1"/>
  <c r="AI587" i="1"/>
  <c r="AH587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H587" i="1"/>
  <c r="G587" i="1"/>
  <c r="D587" i="1"/>
  <c r="C587" i="1"/>
  <c r="B587" i="1"/>
  <c r="AY586" i="1"/>
  <c r="AX586" i="1"/>
  <c r="AW586" i="1"/>
  <c r="AV586" i="1"/>
  <c r="AU586" i="1"/>
  <c r="AT586" i="1"/>
  <c r="AS586" i="1"/>
  <c r="AR586" i="1"/>
  <c r="AQ586" i="1"/>
  <c r="AP586" i="1"/>
  <c r="AO586" i="1"/>
  <c r="AN586" i="1"/>
  <c r="AM586" i="1"/>
  <c r="AL586" i="1"/>
  <c r="AK586" i="1"/>
  <c r="AJ586" i="1"/>
  <c r="AI586" i="1"/>
  <c r="AH586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H586" i="1"/>
  <c r="G586" i="1"/>
  <c r="D586" i="1"/>
  <c r="C586" i="1"/>
  <c r="B586" i="1"/>
  <c r="AY585" i="1"/>
  <c r="AX585" i="1"/>
  <c r="AW585" i="1"/>
  <c r="AV585" i="1"/>
  <c r="AU585" i="1"/>
  <c r="AT585" i="1"/>
  <c r="AS585" i="1"/>
  <c r="AR585" i="1"/>
  <c r="AQ585" i="1"/>
  <c r="AP585" i="1"/>
  <c r="AO585" i="1"/>
  <c r="AN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H585" i="1"/>
  <c r="G585" i="1"/>
  <c r="D585" i="1"/>
  <c r="C585" i="1"/>
  <c r="B585" i="1"/>
  <c r="AY584" i="1"/>
  <c r="AX584" i="1"/>
  <c r="AW584" i="1"/>
  <c r="AV584" i="1"/>
  <c r="AU584" i="1"/>
  <c r="AT584" i="1"/>
  <c r="AS584" i="1"/>
  <c r="AR584" i="1"/>
  <c r="AQ584" i="1"/>
  <c r="AP584" i="1"/>
  <c r="AO584" i="1"/>
  <c r="AN584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H584" i="1"/>
  <c r="G584" i="1"/>
  <c r="D584" i="1"/>
  <c r="C584" i="1"/>
  <c r="B584" i="1"/>
  <c r="AY583" i="1"/>
  <c r="AX583" i="1"/>
  <c r="AW583" i="1"/>
  <c r="AV583" i="1"/>
  <c r="AU583" i="1"/>
  <c r="AT583" i="1"/>
  <c r="AS583" i="1"/>
  <c r="AR583" i="1"/>
  <c r="AQ583" i="1"/>
  <c r="AP583" i="1"/>
  <c r="AO583" i="1"/>
  <c r="AN583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H583" i="1"/>
  <c r="G583" i="1"/>
  <c r="D583" i="1"/>
  <c r="C583" i="1"/>
  <c r="B583" i="1"/>
  <c r="AY582" i="1"/>
  <c r="AX582" i="1"/>
  <c r="AW582" i="1"/>
  <c r="AV582" i="1"/>
  <c r="AU582" i="1"/>
  <c r="AT582" i="1"/>
  <c r="AS582" i="1"/>
  <c r="AR582" i="1"/>
  <c r="AQ582" i="1"/>
  <c r="AP582" i="1"/>
  <c r="AO582" i="1"/>
  <c r="AN582" i="1"/>
  <c r="AM582" i="1"/>
  <c r="AL582" i="1"/>
  <c r="AK582" i="1"/>
  <c r="AJ582" i="1"/>
  <c r="AI582" i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H582" i="1"/>
  <c r="G582" i="1"/>
  <c r="D582" i="1"/>
  <c r="C582" i="1"/>
  <c r="B582" i="1"/>
  <c r="AY580" i="1"/>
  <c r="AX580" i="1"/>
  <c r="AW580" i="1"/>
  <c r="AV580" i="1"/>
  <c r="AU580" i="1"/>
  <c r="AT580" i="1"/>
  <c r="AS580" i="1"/>
  <c r="AR580" i="1"/>
  <c r="AQ580" i="1"/>
  <c r="AP580" i="1"/>
  <c r="AO580" i="1"/>
  <c r="AN580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H580" i="1"/>
  <c r="G580" i="1"/>
  <c r="D580" i="1"/>
  <c r="C580" i="1"/>
  <c r="B580" i="1"/>
  <c r="AY579" i="1"/>
  <c r="AX579" i="1"/>
  <c r="AW579" i="1"/>
  <c r="AV579" i="1"/>
  <c r="AU579" i="1"/>
  <c r="AT579" i="1"/>
  <c r="AS579" i="1"/>
  <c r="AR579" i="1"/>
  <c r="AQ579" i="1"/>
  <c r="AP579" i="1"/>
  <c r="AO579" i="1"/>
  <c r="AN579" i="1"/>
  <c r="AM579" i="1"/>
  <c r="AL579" i="1"/>
  <c r="AK579" i="1"/>
  <c r="AJ579" i="1"/>
  <c r="AI579" i="1"/>
  <c r="AH579" i="1"/>
  <c r="AG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H579" i="1"/>
  <c r="G579" i="1"/>
  <c r="D579" i="1"/>
  <c r="C579" i="1"/>
  <c r="B579" i="1"/>
  <c r="AY570" i="1"/>
  <c r="AX570" i="1"/>
  <c r="AW570" i="1"/>
  <c r="AV570" i="1"/>
  <c r="AU570" i="1"/>
  <c r="AT570" i="1"/>
  <c r="AS570" i="1"/>
  <c r="AR570" i="1"/>
  <c r="AQ570" i="1"/>
  <c r="AP570" i="1"/>
  <c r="AO570" i="1"/>
  <c r="AN570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H570" i="1"/>
  <c r="G570" i="1"/>
  <c r="D570" i="1"/>
  <c r="C570" i="1"/>
  <c r="B570" i="1"/>
  <c r="AY569" i="1"/>
  <c r="AX569" i="1"/>
  <c r="AW569" i="1"/>
  <c r="AV569" i="1"/>
  <c r="AU569" i="1"/>
  <c r="AT569" i="1"/>
  <c r="AS569" i="1"/>
  <c r="AR569" i="1"/>
  <c r="AQ569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H569" i="1"/>
  <c r="G569" i="1"/>
  <c r="D569" i="1"/>
  <c r="C569" i="1"/>
  <c r="B569" i="1"/>
  <c r="AY568" i="1"/>
  <c r="AX568" i="1"/>
  <c r="AW568" i="1"/>
  <c r="AV568" i="1"/>
  <c r="AU568" i="1"/>
  <c r="AT568" i="1"/>
  <c r="AS568" i="1"/>
  <c r="AR568" i="1"/>
  <c r="AQ568" i="1"/>
  <c r="AP568" i="1"/>
  <c r="AO568" i="1"/>
  <c r="AN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H568" i="1"/>
  <c r="G568" i="1"/>
  <c r="D568" i="1"/>
  <c r="C568" i="1"/>
  <c r="B568" i="1"/>
  <c r="AY567" i="1"/>
  <c r="AX567" i="1"/>
  <c r="AW567" i="1"/>
  <c r="AV567" i="1"/>
  <c r="AU567" i="1"/>
  <c r="AT567" i="1"/>
  <c r="AS567" i="1"/>
  <c r="AR567" i="1"/>
  <c r="AQ567" i="1"/>
  <c r="AP567" i="1"/>
  <c r="AO567" i="1"/>
  <c r="AN567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H567" i="1"/>
  <c r="G567" i="1"/>
  <c r="D567" i="1"/>
  <c r="C567" i="1"/>
  <c r="B567" i="1"/>
  <c r="AY566" i="1"/>
  <c r="AX566" i="1"/>
  <c r="AW566" i="1"/>
  <c r="AV566" i="1"/>
  <c r="AU566" i="1"/>
  <c r="AT566" i="1"/>
  <c r="AS566" i="1"/>
  <c r="AR566" i="1"/>
  <c r="AQ566" i="1"/>
  <c r="AP566" i="1"/>
  <c r="AO566" i="1"/>
  <c r="AN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H566" i="1"/>
  <c r="G566" i="1"/>
  <c r="D566" i="1"/>
  <c r="C566" i="1"/>
  <c r="B566" i="1"/>
  <c r="AY565" i="1"/>
  <c r="AX565" i="1"/>
  <c r="AW565" i="1"/>
  <c r="AV565" i="1"/>
  <c r="AU565" i="1"/>
  <c r="AT565" i="1"/>
  <c r="AS565" i="1"/>
  <c r="AR565" i="1"/>
  <c r="AQ565" i="1"/>
  <c r="AP565" i="1"/>
  <c r="AO565" i="1"/>
  <c r="AN565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H565" i="1"/>
  <c r="G565" i="1"/>
  <c r="D565" i="1"/>
  <c r="C565" i="1"/>
  <c r="B565" i="1"/>
  <c r="AY564" i="1"/>
  <c r="AX564" i="1"/>
  <c r="AW564" i="1"/>
  <c r="AV564" i="1"/>
  <c r="AU564" i="1"/>
  <c r="AT564" i="1"/>
  <c r="AS564" i="1"/>
  <c r="AR564" i="1"/>
  <c r="AQ564" i="1"/>
  <c r="AP564" i="1"/>
  <c r="AO564" i="1"/>
  <c r="AN564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H564" i="1"/>
  <c r="G564" i="1"/>
  <c r="D564" i="1"/>
  <c r="C564" i="1"/>
  <c r="B564" i="1"/>
  <c r="AY563" i="1"/>
  <c r="AX563" i="1"/>
  <c r="AW563" i="1"/>
  <c r="AV563" i="1"/>
  <c r="AU563" i="1"/>
  <c r="AT563" i="1"/>
  <c r="AS563" i="1"/>
  <c r="AR563" i="1"/>
  <c r="AQ563" i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H563" i="1"/>
  <c r="G563" i="1"/>
  <c r="D563" i="1"/>
  <c r="C563" i="1"/>
  <c r="B563" i="1"/>
  <c r="AY562" i="1"/>
  <c r="AX562" i="1"/>
  <c r="AW562" i="1"/>
  <c r="AV562" i="1"/>
  <c r="AU562" i="1"/>
  <c r="AT562" i="1"/>
  <c r="AS562" i="1"/>
  <c r="AR562" i="1"/>
  <c r="AQ562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H562" i="1"/>
  <c r="G562" i="1"/>
  <c r="D562" i="1"/>
  <c r="C562" i="1"/>
  <c r="B562" i="1"/>
  <c r="AY561" i="1"/>
  <c r="AX561" i="1"/>
  <c r="AW561" i="1"/>
  <c r="AV561" i="1"/>
  <c r="AU561" i="1"/>
  <c r="AT561" i="1"/>
  <c r="AS561" i="1"/>
  <c r="AR561" i="1"/>
  <c r="AQ561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H561" i="1"/>
  <c r="G561" i="1"/>
  <c r="D561" i="1"/>
  <c r="C561" i="1"/>
  <c r="B561" i="1"/>
  <c r="AY560" i="1"/>
  <c r="AX560" i="1"/>
  <c r="AW560" i="1"/>
  <c r="AV560" i="1"/>
  <c r="AU560" i="1"/>
  <c r="AT560" i="1"/>
  <c r="AS560" i="1"/>
  <c r="AR560" i="1"/>
  <c r="AQ560" i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H560" i="1"/>
  <c r="G560" i="1"/>
  <c r="D560" i="1"/>
  <c r="C560" i="1"/>
  <c r="B560" i="1"/>
  <c r="AY559" i="1"/>
  <c r="AX559" i="1"/>
  <c r="AW559" i="1"/>
  <c r="AV559" i="1"/>
  <c r="AU559" i="1"/>
  <c r="AT559" i="1"/>
  <c r="AS559" i="1"/>
  <c r="AR559" i="1"/>
  <c r="AQ559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H559" i="1"/>
  <c r="G559" i="1"/>
  <c r="D559" i="1"/>
  <c r="C559" i="1"/>
  <c r="B559" i="1"/>
  <c r="AY558" i="1"/>
  <c r="AX558" i="1"/>
  <c r="AW558" i="1"/>
  <c r="AV558" i="1"/>
  <c r="AU558" i="1"/>
  <c r="AT558" i="1"/>
  <c r="AS558" i="1"/>
  <c r="AR558" i="1"/>
  <c r="AQ558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H558" i="1"/>
  <c r="G558" i="1"/>
  <c r="D558" i="1"/>
  <c r="C558" i="1"/>
  <c r="B558" i="1"/>
  <c r="AY557" i="1"/>
  <c r="AX557" i="1"/>
  <c r="AW557" i="1"/>
  <c r="AV557" i="1"/>
  <c r="AU557" i="1"/>
  <c r="AT557" i="1"/>
  <c r="AS557" i="1"/>
  <c r="AR557" i="1"/>
  <c r="AQ557" i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H557" i="1"/>
  <c r="G557" i="1"/>
  <c r="D557" i="1"/>
  <c r="C557" i="1"/>
  <c r="B557" i="1"/>
  <c r="AY556" i="1"/>
  <c r="AX556" i="1"/>
  <c r="AW556" i="1"/>
  <c r="AV556" i="1"/>
  <c r="AU556" i="1"/>
  <c r="AT556" i="1"/>
  <c r="AS556" i="1"/>
  <c r="AR556" i="1"/>
  <c r="AQ556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H556" i="1"/>
  <c r="G556" i="1"/>
  <c r="D556" i="1"/>
  <c r="C556" i="1"/>
  <c r="B556" i="1"/>
  <c r="AY555" i="1"/>
  <c r="AX555" i="1"/>
  <c r="AW555" i="1"/>
  <c r="AV555" i="1"/>
  <c r="AU555" i="1"/>
  <c r="AT555" i="1"/>
  <c r="AS555" i="1"/>
  <c r="AR555" i="1"/>
  <c r="AQ555" i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H555" i="1"/>
  <c r="G555" i="1"/>
  <c r="D555" i="1"/>
  <c r="C555" i="1"/>
  <c r="B555" i="1"/>
  <c r="AY554" i="1"/>
  <c r="AX554" i="1"/>
  <c r="AW554" i="1"/>
  <c r="AV554" i="1"/>
  <c r="AU554" i="1"/>
  <c r="AT554" i="1"/>
  <c r="AS554" i="1"/>
  <c r="AR554" i="1"/>
  <c r="AQ554" i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H554" i="1"/>
  <c r="G554" i="1"/>
  <c r="D554" i="1"/>
  <c r="C554" i="1"/>
  <c r="B554" i="1"/>
  <c r="AY553" i="1"/>
  <c r="AX553" i="1"/>
  <c r="AW553" i="1"/>
  <c r="AV553" i="1"/>
  <c r="AU553" i="1"/>
  <c r="AT553" i="1"/>
  <c r="AS553" i="1"/>
  <c r="AR553" i="1"/>
  <c r="AQ553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H553" i="1"/>
  <c r="G553" i="1"/>
  <c r="D553" i="1"/>
  <c r="C553" i="1"/>
  <c r="B553" i="1"/>
  <c r="AY552" i="1"/>
  <c r="AX552" i="1"/>
  <c r="AW552" i="1"/>
  <c r="AV552" i="1"/>
  <c r="AU552" i="1"/>
  <c r="AT552" i="1"/>
  <c r="AS552" i="1"/>
  <c r="AR552" i="1"/>
  <c r="AQ552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H552" i="1"/>
  <c r="G552" i="1"/>
  <c r="D552" i="1"/>
  <c r="C552" i="1"/>
  <c r="B552" i="1"/>
  <c r="AY551" i="1"/>
  <c r="AX551" i="1"/>
  <c r="AW551" i="1"/>
  <c r="AV551" i="1"/>
  <c r="AU551" i="1"/>
  <c r="AT551" i="1"/>
  <c r="AS551" i="1"/>
  <c r="AR551" i="1"/>
  <c r="AQ551" i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H551" i="1"/>
  <c r="G551" i="1"/>
  <c r="D551" i="1"/>
  <c r="C551" i="1"/>
  <c r="B551" i="1"/>
  <c r="AY550" i="1"/>
  <c r="AX550" i="1"/>
  <c r="AW550" i="1"/>
  <c r="AV550" i="1"/>
  <c r="AU550" i="1"/>
  <c r="AT550" i="1"/>
  <c r="AS550" i="1"/>
  <c r="AR550" i="1"/>
  <c r="AQ550" i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H550" i="1"/>
  <c r="G550" i="1"/>
  <c r="D550" i="1"/>
  <c r="C550" i="1"/>
  <c r="B550" i="1"/>
  <c r="AY549" i="1"/>
  <c r="AX549" i="1"/>
  <c r="AW549" i="1"/>
  <c r="AV549" i="1"/>
  <c r="AU549" i="1"/>
  <c r="AT549" i="1"/>
  <c r="AS549" i="1"/>
  <c r="AR549" i="1"/>
  <c r="AQ549" i="1"/>
  <c r="AP549" i="1"/>
  <c r="AO549" i="1"/>
  <c r="AN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H549" i="1"/>
  <c r="G549" i="1"/>
  <c r="D549" i="1"/>
  <c r="C549" i="1"/>
  <c r="B549" i="1"/>
  <c r="AY548" i="1"/>
  <c r="AX548" i="1"/>
  <c r="AW548" i="1"/>
  <c r="AV548" i="1"/>
  <c r="AU548" i="1"/>
  <c r="AT548" i="1"/>
  <c r="AS548" i="1"/>
  <c r="AR548" i="1"/>
  <c r="AQ548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H548" i="1"/>
  <c r="G548" i="1"/>
  <c r="D548" i="1"/>
  <c r="C548" i="1"/>
  <c r="B548" i="1"/>
  <c r="AY547" i="1"/>
  <c r="AX547" i="1"/>
  <c r="AW547" i="1"/>
  <c r="AV547" i="1"/>
  <c r="AU547" i="1"/>
  <c r="AT547" i="1"/>
  <c r="AS547" i="1"/>
  <c r="AR547" i="1"/>
  <c r="AQ547" i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H547" i="1"/>
  <c r="G547" i="1"/>
  <c r="D547" i="1"/>
  <c r="C547" i="1"/>
  <c r="B547" i="1"/>
  <c r="AY546" i="1"/>
  <c r="AX546" i="1"/>
  <c r="AW546" i="1"/>
  <c r="AV546" i="1"/>
  <c r="AU546" i="1"/>
  <c r="AT546" i="1"/>
  <c r="AS546" i="1"/>
  <c r="AR546" i="1"/>
  <c r="AQ546" i="1"/>
  <c r="AP546" i="1"/>
  <c r="AO546" i="1"/>
  <c r="AN546" i="1"/>
  <c r="AM546" i="1"/>
  <c r="AL546" i="1"/>
  <c r="AK546" i="1"/>
  <c r="AJ546" i="1"/>
  <c r="AI546" i="1"/>
  <c r="AH546" i="1"/>
  <c r="AG546" i="1"/>
  <c r="AF546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H546" i="1"/>
  <c r="G546" i="1"/>
  <c r="D546" i="1"/>
  <c r="C546" i="1"/>
  <c r="B546" i="1"/>
  <c r="AY537" i="1"/>
  <c r="AX537" i="1"/>
  <c r="AW537" i="1"/>
  <c r="AV537" i="1"/>
  <c r="AU537" i="1"/>
  <c r="AT537" i="1"/>
  <c r="AS537" i="1"/>
  <c r="AR537" i="1"/>
  <c r="AQ537" i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H537" i="1"/>
  <c r="G537" i="1"/>
  <c r="D537" i="1"/>
  <c r="C537" i="1"/>
  <c r="B537" i="1"/>
  <c r="AY536" i="1"/>
  <c r="AX536" i="1"/>
  <c r="AW536" i="1"/>
  <c r="AV536" i="1"/>
  <c r="AU536" i="1"/>
  <c r="AT536" i="1"/>
  <c r="AS536" i="1"/>
  <c r="AR536" i="1"/>
  <c r="AQ536" i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H536" i="1"/>
  <c r="G536" i="1"/>
  <c r="D536" i="1"/>
  <c r="C536" i="1"/>
  <c r="B536" i="1"/>
  <c r="AY535" i="1"/>
  <c r="AX535" i="1"/>
  <c r="AW535" i="1"/>
  <c r="AV535" i="1"/>
  <c r="AU535" i="1"/>
  <c r="AT535" i="1"/>
  <c r="AS535" i="1"/>
  <c r="AR535" i="1"/>
  <c r="AQ535" i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H535" i="1"/>
  <c r="G535" i="1"/>
  <c r="D535" i="1"/>
  <c r="C535" i="1"/>
  <c r="B535" i="1"/>
  <c r="AY534" i="1"/>
  <c r="AX534" i="1"/>
  <c r="AW534" i="1"/>
  <c r="AV534" i="1"/>
  <c r="AU534" i="1"/>
  <c r="AT534" i="1"/>
  <c r="AS534" i="1"/>
  <c r="AR534" i="1"/>
  <c r="AQ534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H534" i="1"/>
  <c r="G534" i="1"/>
  <c r="D534" i="1"/>
  <c r="C534" i="1"/>
  <c r="B534" i="1"/>
  <c r="AY533" i="1"/>
  <c r="AX533" i="1"/>
  <c r="AW533" i="1"/>
  <c r="AV533" i="1"/>
  <c r="AU533" i="1"/>
  <c r="AT533" i="1"/>
  <c r="AS533" i="1"/>
  <c r="AR533" i="1"/>
  <c r="AQ533" i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H533" i="1"/>
  <c r="G533" i="1"/>
  <c r="D533" i="1"/>
  <c r="C533" i="1"/>
  <c r="B533" i="1"/>
  <c r="AY532" i="1"/>
  <c r="AX532" i="1"/>
  <c r="AW532" i="1"/>
  <c r="AV532" i="1"/>
  <c r="AU532" i="1"/>
  <c r="AT532" i="1"/>
  <c r="AS532" i="1"/>
  <c r="AR532" i="1"/>
  <c r="AQ532" i="1"/>
  <c r="AP532" i="1"/>
  <c r="AO532" i="1"/>
  <c r="AN532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H532" i="1"/>
  <c r="G532" i="1"/>
  <c r="D532" i="1"/>
  <c r="C532" i="1"/>
  <c r="B532" i="1"/>
  <c r="AY523" i="1"/>
  <c r="AX523" i="1"/>
  <c r="AW523" i="1"/>
  <c r="AV523" i="1"/>
  <c r="AU523" i="1"/>
  <c r="AT523" i="1"/>
  <c r="AS523" i="1"/>
  <c r="AR523" i="1"/>
  <c r="AQ523" i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H523" i="1"/>
  <c r="G523" i="1"/>
  <c r="D523" i="1"/>
  <c r="C523" i="1"/>
  <c r="B523" i="1"/>
  <c r="AY522" i="1"/>
  <c r="AX522" i="1"/>
  <c r="AW522" i="1"/>
  <c r="AV522" i="1"/>
  <c r="AU522" i="1"/>
  <c r="AT522" i="1"/>
  <c r="AS522" i="1"/>
  <c r="AR522" i="1"/>
  <c r="AQ522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H522" i="1"/>
  <c r="G522" i="1"/>
  <c r="D522" i="1"/>
  <c r="C522" i="1"/>
  <c r="B522" i="1"/>
  <c r="AY521" i="1"/>
  <c r="AX521" i="1"/>
  <c r="AW521" i="1"/>
  <c r="AV521" i="1"/>
  <c r="AU521" i="1"/>
  <c r="AT521" i="1"/>
  <c r="AS521" i="1"/>
  <c r="AR521" i="1"/>
  <c r="AQ521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H521" i="1"/>
  <c r="G521" i="1"/>
  <c r="D521" i="1"/>
  <c r="C521" i="1"/>
  <c r="B521" i="1"/>
  <c r="AY520" i="1"/>
  <c r="AX520" i="1"/>
  <c r="AW520" i="1"/>
  <c r="AV520" i="1"/>
  <c r="AU520" i="1"/>
  <c r="AT520" i="1"/>
  <c r="AS520" i="1"/>
  <c r="AR520" i="1"/>
  <c r="AQ520" i="1"/>
  <c r="AP520" i="1"/>
  <c r="AO520" i="1"/>
  <c r="AN520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H520" i="1"/>
  <c r="G520" i="1"/>
  <c r="D520" i="1"/>
  <c r="C520" i="1"/>
  <c r="B520" i="1"/>
  <c r="AY519" i="1"/>
  <c r="AX519" i="1"/>
  <c r="AW519" i="1"/>
  <c r="AV519" i="1"/>
  <c r="AU519" i="1"/>
  <c r="AT519" i="1"/>
  <c r="AS519" i="1"/>
  <c r="AR519" i="1"/>
  <c r="AQ519" i="1"/>
  <c r="AP519" i="1"/>
  <c r="AO519" i="1"/>
  <c r="AN519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H519" i="1"/>
  <c r="G519" i="1"/>
  <c r="D519" i="1"/>
  <c r="C519" i="1"/>
  <c r="B519" i="1"/>
  <c r="AY518" i="1"/>
  <c r="AX518" i="1"/>
  <c r="AW518" i="1"/>
  <c r="AV518" i="1"/>
  <c r="AU518" i="1"/>
  <c r="AT518" i="1"/>
  <c r="AS518" i="1"/>
  <c r="AR518" i="1"/>
  <c r="AQ518" i="1"/>
  <c r="AP518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H518" i="1"/>
  <c r="G518" i="1"/>
  <c r="D518" i="1"/>
  <c r="C518" i="1"/>
  <c r="B518" i="1"/>
  <c r="AY517" i="1"/>
  <c r="AX517" i="1"/>
  <c r="AW517" i="1"/>
  <c r="AV517" i="1"/>
  <c r="AU517" i="1"/>
  <c r="AT517" i="1"/>
  <c r="AS517" i="1"/>
  <c r="AR517" i="1"/>
  <c r="AQ517" i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H517" i="1"/>
  <c r="G517" i="1"/>
  <c r="D517" i="1"/>
  <c r="C517" i="1"/>
  <c r="B517" i="1"/>
  <c r="AY516" i="1"/>
  <c r="AX516" i="1"/>
  <c r="AW516" i="1"/>
  <c r="AV516" i="1"/>
  <c r="AU516" i="1"/>
  <c r="AT516" i="1"/>
  <c r="AS516" i="1"/>
  <c r="AR516" i="1"/>
  <c r="AQ516" i="1"/>
  <c r="AP516" i="1"/>
  <c r="AO516" i="1"/>
  <c r="AN516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H516" i="1"/>
  <c r="G516" i="1"/>
  <c r="D516" i="1"/>
  <c r="C516" i="1"/>
  <c r="B516" i="1"/>
  <c r="AY515" i="1"/>
  <c r="AX515" i="1"/>
  <c r="AW515" i="1"/>
  <c r="AV515" i="1"/>
  <c r="AU515" i="1"/>
  <c r="AT515" i="1"/>
  <c r="AS515" i="1"/>
  <c r="AR515" i="1"/>
  <c r="AQ515" i="1"/>
  <c r="AP515" i="1"/>
  <c r="AO515" i="1"/>
  <c r="AN515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H515" i="1"/>
  <c r="G515" i="1"/>
  <c r="D515" i="1"/>
  <c r="C515" i="1"/>
  <c r="B515" i="1"/>
  <c r="AY514" i="1"/>
  <c r="AX514" i="1"/>
  <c r="AW514" i="1"/>
  <c r="AV514" i="1"/>
  <c r="AU514" i="1"/>
  <c r="AT514" i="1"/>
  <c r="AS514" i="1"/>
  <c r="AR514" i="1"/>
  <c r="AQ514" i="1"/>
  <c r="AP514" i="1"/>
  <c r="AO514" i="1"/>
  <c r="AN514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H514" i="1"/>
  <c r="G514" i="1"/>
  <c r="D514" i="1"/>
  <c r="C514" i="1"/>
  <c r="B514" i="1"/>
  <c r="AY513" i="1"/>
  <c r="AX513" i="1"/>
  <c r="AW513" i="1"/>
  <c r="AV513" i="1"/>
  <c r="AU513" i="1"/>
  <c r="AT513" i="1"/>
  <c r="AS513" i="1"/>
  <c r="AR513" i="1"/>
  <c r="AQ513" i="1"/>
  <c r="AP513" i="1"/>
  <c r="AO513" i="1"/>
  <c r="AN513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H513" i="1"/>
  <c r="G513" i="1"/>
  <c r="D513" i="1"/>
  <c r="C513" i="1"/>
  <c r="B513" i="1"/>
  <c r="AY512" i="1"/>
  <c r="AX512" i="1"/>
  <c r="AW512" i="1"/>
  <c r="AV512" i="1"/>
  <c r="AU512" i="1"/>
  <c r="AT512" i="1"/>
  <c r="AS512" i="1"/>
  <c r="AR512" i="1"/>
  <c r="AQ512" i="1"/>
  <c r="AP512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H512" i="1"/>
  <c r="G512" i="1"/>
  <c r="D512" i="1"/>
  <c r="C512" i="1"/>
  <c r="B512" i="1"/>
  <c r="AY503" i="1"/>
  <c r="AX503" i="1"/>
  <c r="AW503" i="1"/>
  <c r="AV503" i="1"/>
  <c r="AU503" i="1"/>
  <c r="AT503" i="1"/>
  <c r="AS503" i="1"/>
  <c r="AR503" i="1"/>
  <c r="AQ503" i="1"/>
  <c r="AP503" i="1"/>
  <c r="AO503" i="1"/>
  <c r="AN503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H503" i="1"/>
  <c r="G503" i="1"/>
  <c r="D503" i="1"/>
  <c r="C503" i="1"/>
  <c r="B503" i="1"/>
  <c r="AY502" i="1"/>
  <c r="AX502" i="1"/>
  <c r="AW502" i="1"/>
  <c r="AV502" i="1"/>
  <c r="AU502" i="1"/>
  <c r="AT502" i="1"/>
  <c r="AS502" i="1"/>
  <c r="AR502" i="1"/>
  <c r="AQ502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H502" i="1"/>
  <c r="G502" i="1"/>
  <c r="D502" i="1"/>
  <c r="C502" i="1"/>
  <c r="B502" i="1"/>
  <c r="AY501" i="1"/>
  <c r="AX501" i="1"/>
  <c r="AW501" i="1"/>
  <c r="AV501" i="1"/>
  <c r="AU501" i="1"/>
  <c r="AT501" i="1"/>
  <c r="AS501" i="1"/>
  <c r="AR501" i="1"/>
  <c r="AQ501" i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H501" i="1"/>
  <c r="G501" i="1"/>
  <c r="D501" i="1"/>
  <c r="C501" i="1"/>
  <c r="B501" i="1"/>
  <c r="AY500" i="1"/>
  <c r="AX500" i="1"/>
  <c r="AW500" i="1"/>
  <c r="AV500" i="1"/>
  <c r="AU500" i="1"/>
  <c r="AT500" i="1"/>
  <c r="AS500" i="1"/>
  <c r="AR500" i="1"/>
  <c r="AQ500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H500" i="1"/>
  <c r="G500" i="1"/>
  <c r="D500" i="1"/>
  <c r="C500" i="1"/>
  <c r="B500" i="1"/>
  <c r="AY499" i="1"/>
  <c r="AX499" i="1"/>
  <c r="AW499" i="1"/>
  <c r="AV499" i="1"/>
  <c r="AU499" i="1"/>
  <c r="AT499" i="1"/>
  <c r="AS499" i="1"/>
  <c r="AR499" i="1"/>
  <c r="AQ499" i="1"/>
  <c r="AP499" i="1"/>
  <c r="AO499" i="1"/>
  <c r="AN499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H499" i="1"/>
  <c r="G499" i="1"/>
  <c r="D499" i="1"/>
  <c r="C499" i="1"/>
  <c r="B499" i="1"/>
  <c r="AY498" i="1"/>
  <c r="AX498" i="1"/>
  <c r="AW498" i="1"/>
  <c r="AV498" i="1"/>
  <c r="AU498" i="1"/>
  <c r="AT498" i="1"/>
  <c r="AS498" i="1"/>
  <c r="AR498" i="1"/>
  <c r="AQ498" i="1"/>
  <c r="AP498" i="1"/>
  <c r="AO498" i="1"/>
  <c r="AN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H498" i="1"/>
  <c r="G498" i="1"/>
  <c r="D498" i="1"/>
  <c r="C498" i="1"/>
  <c r="B498" i="1"/>
  <c r="AY497" i="1"/>
  <c r="AX497" i="1"/>
  <c r="AW497" i="1"/>
  <c r="AV497" i="1"/>
  <c r="AU497" i="1"/>
  <c r="AT497" i="1"/>
  <c r="AS497" i="1"/>
  <c r="AR497" i="1"/>
  <c r="AQ497" i="1"/>
  <c r="AP497" i="1"/>
  <c r="AO497" i="1"/>
  <c r="AN497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H497" i="1"/>
  <c r="G497" i="1"/>
  <c r="D497" i="1"/>
  <c r="C497" i="1"/>
  <c r="B497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H475" i="1"/>
  <c r="G475" i="1"/>
  <c r="AY474" i="1"/>
  <c r="AY476" i="1" s="1"/>
  <c r="AX474" i="1"/>
  <c r="AW474" i="1"/>
  <c r="AW476" i="1" s="1"/>
  <c r="AV474" i="1"/>
  <c r="AV476" i="1" s="1"/>
  <c r="AU474" i="1"/>
  <c r="AU476" i="1" s="1"/>
  <c r="AT474" i="1"/>
  <c r="AS474" i="1"/>
  <c r="AS476" i="1" s="1"/>
  <c r="AR474" i="1"/>
  <c r="AR476" i="1" s="1"/>
  <c r="AQ474" i="1"/>
  <c r="AQ476" i="1" s="1"/>
  <c r="AP474" i="1"/>
  <c r="AO474" i="1"/>
  <c r="AO476" i="1" s="1"/>
  <c r="AN474" i="1"/>
  <c r="AN476" i="1" s="1"/>
  <c r="AM474" i="1"/>
  <c r="AM476" i="1" s="1"/>
  <c r="AL474" i="1"/>
  <c r="AK474" i="1"/>
  <c r="AK476" i="1" s="1"/>
  <c r="AJ474" i="1"/>
  <c r="AJ476" i="1" s="1"/>
  <c r="AI474" i="1"/>
  <c r="AI476" i="1" s="1"/>
  <c r="AH474" i="1"/>
  <c r="AG474" i="1"/>
  <c r="AG476" i="1" s="1"/>
  <c r="AF474" i="1"/>
  <c r="AF476" i="1" s="1"/>
  <c r="AE474" i="1"/>
  <c r="AE476" i="1" s="1"/>
  <c r="AD474" i="1"/>
  <c r="AD476" i="1" s="1"/>
  <c r="AC474" i="1"/>
  <c r="AC476" i="1" s="1"/>
  <c r="AB474" i="1"/>
  <c r="AB476" i="1" s="1"/>
  <c r="AA474" i="1"/>
  <c r="AA476" i="1" s="1"/>
  <c r="Z474" i="1"/>
  <c r="Z476" i="1" s="1"/>
  <c r="Y474" i="1"/>
  <c r="X474" i="1"/>
  <c r="X476" i="1" s="1"/>
  <c r="W474" i="1"/>
  <c r="W476" i="1" s="1"/>
  <c r="V474" i="1"/>
  <c r="V476" i="1" s="1"/>
  <c r="U474" i="1"/>
  <c r="U476" i="1" s="1"/>
  <c r="T474" i="1"/>
  <c r="T476" i="1" s="1"/>
  <c r="S474" i="1"/>
  <c r="S476" i="1" s="1"/>
  <c r="R474" i="1"/>
  <c r="R476" i="1" s="1"/>
  <c r="Q474" i="1"/>
  <c r="Q476" i="1" s="1"/>
  <c r="P474" i="1"/>
  <c r="P476" i="1" s="1"/>
  <c r="O474" i="1"/>
  <c r="O476" i="1" s="1"/>
  <c r="N474" i="1"/>
  <c r="N476" i="1" s="1"/>
  <c r="M474" i="1"/>
  <c r="M476" i="1" s="1"/>
  <c r="L474" i="1"/>
  <c r="L476" i="1" s="1"/>
  <c r="K474" i="1"/>
  <c r="K476" i="1" s="1"/>
  <c r="J474" i="1"/>
  <c r="J476" i="1" s="1"/>
  <c r="H474" i="1"/>
  <c r="H476" i="1" s="1"/>
  <c r="G474" i="1"/>
  <c r="G476" i="1" s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H473" i="1"/>
  <c r="G473" i="1"/>
  <c r="AY472" i="1"/>
  <c r="AX472" i="1"/>
  <c r="AX477" i="1" s="1"/>
  <c r="AW472" i="1"/>
  <c r="AW477" i="1" s="1"/>
  <c r="AV472" i="1"/>
  <c r="AU472" i="1"/>
  <c r="AU468" i="1" s="1"/>
  <c r="AT472" i="1"/>
  <c r="AT477" i="1" s="1"/>
  <c r="AS472" i="1"/>
  <c r="AS477" i="1" s="1"/>
  <c r="AR472" i="1"/>
  <c r="AQ472" i="1"/>
  <c r="AQ468" i="1" s="1"/>
  <c r="AP472" i="1"/>
  <c r="AP477" i="1" s="1"/>
  <c r="AO472" i="1"/>
  <c r="AO477" i="1" s="1"/>
  <c r="AN472" i="1"/>
  <c r="AM472" i="1"/>
  <c r="AM468" i="1" s="1"/>
  <c r="AL472" i="1"/>
  <c r="AL477" i="1" s="1"/>
  <c r="AK472" i="1"/>
  <c r="AK468" i="1" s="1"/>
  <c r="AJ472" i="1"/>
  <c r="AI472" i="1"/>
  <c r="AI468" i="1" s="1"/>
  <c r="AH472" i="1"/>
  <c r="AH477" i="1" s="1"/>
  <c r="AG472" i="1"/>
  <c r="AG477" i="1" s="1"/>
  <c r="AF472" i="1"/>
  <c r="AE472" i="1"/>
  <c r="AE468" i="1" s="1"/>
  <c r="AD472" i="1"/>
  <c r="AD477" i="1" s="1"/>
  <c r="AC472" i="1"/>
  <c r="AC468" i="1" s="1"/>
  <c r="AB472" i="1"/>
  <c r="AA472" i="1"/>
  <c r="AA468" i="1" s="1"/>
  <c r="Z472" i="1"/>
  <c r="Z477" i="1" s="1"/>
  <c r="Y472" i="1"/>
  <c r="Y477" i="1" s="1"/>
  <c r="X472" i="1"/>
  <c r="W472" i="1"/>
  <c r="W468" i="1" s="1"/>
  <c r="V472" i="1"/>
  <c r="V477" i="1" s="1"/>
  <c r="U472" i="1"/>
  <c r="U468" i="1" s="1"/>
  <c r="T472" i="1"/>
  <c r="S472" i="1"/>
  <c r="S468" i="1" s="1"/>
  <c r="R472" i="1"/>
  <c r="R477" i="1" s="1"/>
  <c r="Q472" i="1"/>
  <c r="Q477" i="1" s="1"/>
  <c r="P472" i="1"/>
  <c r="O472" i="1"/>
  <c r="O468" i="1" s="1"/>
  <c r="N472" i="1"/>
  <c r="N477" i="1" s="1"/>
  <c r="M472" i="1"/>
  <c r="M468" i="1" s="1"/>
  <c r="L472" i="1"/>
  <c r="K472" i="1"/>
  <c r="K468" i="1" s="1"/>
  <c r="J472" i="1"/>
  <c r="J477" i="1" s="1"/>
  <c r="H472" i="1"/>
  <c r="G472" i="1"/>
  <c r="G468" i="1" s="1"/>
  <c r="AY468" i="1"/>
  <c r="AY448" i="1"/>
  <c r="AX448" i="1"/>
  <c r="AW448" i="1"/>
  <c r="AV448" i="1"/>
  <c r="AU448" i="1"/>
  <c r="AT448" i="1"/>
  <c r="AS448" i="1"/>
  <c r="AR448" i="1"/>
  <c r="AQ448" i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H448" i="1"/>
  <c r="G448" i="1"/>
  <c r="D448" i="1"/>
  <c r="C448" i="1"/>
  <c r="B448" i="1"/>
  <c r="AY447" i="1"/>
  <c r="AX447" i="1"/>
  <c r="AW447" i="1"/>
  <c r="AV447" i="1"/>
  <c r="AU447" i="1"/>
  <c r="AT447" i="1"/>
  <c r="AS447" i="1"/>
  <c r="AR447" i="1"/>
  <c r="AQ447" i="1"/>
  <c r="AP447" i="1"/>
  <c r="AO447" i="1"/>
  <c r="AN447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H447" i="1"/>
  <c r="G447" i="1"/>
  <c r="D447" i="1"/>
  <c r="C447" i="1"/>
  <c r="B447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H446" i="1"/>
  <c r="G446" i="1"/>
  <c r="D446" i="1"/>
  <c r="C446" i="1"/>
  <c r="B446" i="1"/>
  <c r="AY445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H445" i="1"/>
  <c r="G445" i="1"/>
  <c r="D445" i="1"/>
  <c r="C445" i="1"/>
  <c r="B445" i="1"/>
  <c r="AY444" i="1"/>
  <c r="AX444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H444" i="1"/>
  <c r="G444" i="1"/>
  <c r="D444" i="1"/>
  <c r="C444" i="1"/>
  <c r="B444" i="1"/>
  <c r="AY443" i="1"/>
  <c r="AX443" i="1"/>
  <c r="AW443" i="1"/>
  <c r="AV443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H443" i="1"/>
  <c r="G443" i="1"/>
  <c r="D443" i="1"/>
  <c r="C443" i="1"/>
  <c r="B443" i="1"/>
  <c r="AY442" i="1"/>
  <c r="AX442" i="1"/>
  <c r="AW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H442" i="1"/>
  <c r="G442" i="1"/>
  <c r="D442" i="1"/>
  <c r="C442" i="1"/>
  <c r="B442" i="1"/>
  <c r="AY441" i="1"/>
  <c r="AX441" i="1"/>
  <c r="AW441" i="1"/>
  <c r="AV441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H441" i="1"/>
  <c r="G441" i="1"/>
  <c r="D441" i="1"/>
  <c r="C441" i="1"/>
  <c r="B441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H440" i="1"/>
  <c r="G440" i="1"/>
  <c r="D440" i="1"/>
  <c r="C440" i="1"/>
  <c r="B440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H439" i="1"/>
  <c r="G439" i="1"/>
  <c r="D439" i="1"/>
  <c r="C439" i="1"/>
  <c r="B439" i="1"/>
  <c r="AY438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H438" i="1"/>
  <c r="G438" i="1"/>
  <c r="D438" i="1"/>
  <c r="C438" i="1"/>
  <c r="B438" i="1"/>
  <c r="AY437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H437" i="1"/>
  <c r="G437" i="1"/>
  <c r="D437" i="1"/>
  <c r="C437" i="1"/>
  <c r="B437" i="1"/>
  <c r="AY436" i="1"/>
  <c r="AX436" i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H436" i="1"/>
  <c r="G436" i="1"/>
  <c r="D436" i="1"/>
  <c r="C436" i="1"/>
  <c r="B436" i="1"/>
  <c r="AY435" i="1"/>
  <c r="AX435" i="1"/>
  <c r="AW435" i="1"/>
  <c r="AV435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H435" i="1"/>
  <c r="G435" i="1"/>
  <c r="D435" i="1"/>
  <c r="C435" i="1"/>
  <c r="B435" i="1"/>
  <c r="AY434" i="1"/>
  <c r="AX434" i="1"/>
  <c r="AW434" i="1"/>
  <c r="AV434" i="1"/>
  <c r="AU434" i="1"/>
  <c r="AT434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H434" i="1"/>
  <c r="G434" i="1"/>
  <c r="D434" i="1"/>
  <c r="C434" i="1"/>
  <c r="B434" i="1"/>
  <c r="AY433" i="1"/>
  <c r="AX433" i="1"/>
  <c r="AW433" i="1"/>
  <c r="AV433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H433" i="1"/>
  <c r="G433" i="1"/>
  <c r="D433" i="1"/>
  <c r="C433" i="1"/>
  <c r="B433" i="1"/>
  <c r="AY432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H432" i="1"/>
  <c r="G432" i="1"/>
  <c r="D432" i="1"/>
  <c r="C432" i="1"/>
  <c r="B432" i="1"/>
  <c r="AY431" i="1"/>
  <c r="AX431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H431" i="1"/>
  <c r="G431" i="1"/>
  <c r="D431" i="1"/>
  <c r="C431" i="1"/>
  <c r="B431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H430" i="1"/>
  <c r="G430" i="1"/>
  <c r="D430" i="1"/>
  <c r="C430" i="1"/>
  <c r="B430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H429" i="1"/>
  <c r="G429" i="1"/>
  <c r="D429" i="1"/>
  <c r="C429" i="1"/>
  <c r="B429" i="1"/>
  <c r="AY428" i="1"/>
  <c r="AX428" i="1"/>
  <c r="AW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H428" i="1"/>
  <c r="G428" i="1"/>
  <c r="D428" i="1"/>
  <c r="C428" i="1"/>
  <c r="B428" i="1"/>
  <c r="AY427" i="1"/>
  <c r="AX427" i="1"/>
  <c r="AW427" i="1"/>
  <c r="AV427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H427" i="1"/>
  <c r="G427" i="1"/>
  <c r="D427" i="1"/>
  <c r="C427" i="1"/>
  <c r="B427" i="1"/>
  <c r="AY426" i="1"/>
  <c r="AX426" i="1"/>
  <c r="AW426" i="1"/>
  <c r="AV426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H426" i="1"/>
  <c r="G426" i="1"/>
  <c r="D426" i="1"/>
  <c r="C426" i="1"/>
  <c r="B426" i="1"/>
  <c r="AY425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H425" i="1"/>
  <c r="G425" i="1"/>
  <c r="D425" i="1"/>
  <c r="C425" i="1"/>
  <c r="B425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H424" i="1"/>
  <c r="G424" i="1"/>
  <c r="D424" i="1"/>
  <c r="C424" i="1"/>
  <c r="B424" i="1"/>
  <c r="AY423" i="1"/>
  <c r="AX423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H423" i="1"/>
  <c r="G423" i="1"/>
  <c r="D423" i="1"/>
  <c r="C423" i="1"/>
  <c r="B423" i="1"/>
  <c r="AY422" i="1"/>
  <c r="AX422" i="1"/>
  <c r="AW422" i="1"/>
  <c r="AV422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H422" i="1"/>
  <c r="G422" i="1"/>
  <c r="D422" i="1"/>
  <c r="C422" i="1"/>
  <c r="B422" i="1"/>
  <c r="AY421" i="1"/>
  <c r="AX421" i="1"/>
  <c r="AW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H421" i="1"/>
  <c r="G421" i="1"/>
  <c r="D421" i="1"/>
  <c r="C421" i="1"/>
  <c r="B421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H420" i="1"/>
  <c r="G420" i="1"/>
  <c r="D420" i="1"/>
  <c r="C420" i="1"/>
  <c r="B420" i="1"/>
  <c r="AY419" i="1"/>
  <c r="AX419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H419" i="1"/>
  <c r="G419" i="1"/>
  <c r="D419" i="1"/>
  <c r="C419" i="1"/>
  <c r="B419" i="1"/>
  <c r="AY418" i="1"/>
  <c r="AX418" i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H418" i="1"/>
  <c r="G418" i="1"/>
  <c r="D418" i="1"/>
  <c r="C418" i="1"/>
  <c r="B418" i="1"/>
  <c r="AY417" i="1"/>
  <c r="AX417" i="1"/>
  <c r="AW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H417" i="1"/>
  <c r="G417" i="1"/>
  <c r="D417" i="1"/>
  <c r="C417" i="1"/>
  <c r="B417" i="1"/>
  <c r="AY416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H416" i="1"/>
  <c r="G416" i="1"/>
  <c r="D416" i="1"/>
  <c r="C416" i="1"/>
  <c r="B416" i="1"/>
  <c r="AY415" i="1"/>
  <c r="AX415" i="1"/>
  <c r="AW415" i="1"/>
  <c r="AV415" i="1"/>
  <c r="AU415" i="1"/>
  <c r="AT415" i="1"/>
  <c r="AS415" i="1"/>
  <c r="AR415" i="1"/>
  <c r="AQ415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H415" i="1"/>
  <c r="G415" i="1"/>
  <c r="D415" i="1"/>
  <c r="C415" i="1"/>
  <c r="B415" i="1"/>
  <c r="AY414" i="1"/>
  <c r="AX414" i="1"/>
  <c r="AW414" i="1"/>
  <c r="AV414" i="1"/>
  <c r="AU414" i="1"/>
  <c r="AT414" i="1"/>
  <c r="AS414" i="1"/>
  <c r="AR414" i="1"/>
  <c r="AQ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H414" i="1"/>
  <c r="G414" i="1"/>
  <c r="D414" i="1"/>
  <c r="C414" i="1"/>
  <c r="B414" i="1"/>
  <c r="AY413" i="1"/>
  <c r="AX413" i="1"/>
  <c r="AW413" i="1"/>
  <c r="AV413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H413" i="1"/>
  <c r="G413" i="1"/>
  <c r="D413" i="1"/>
  <c r="C413" i="1"/>
  <c r="B413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H412" i="1"/>
  <c r="G412" i="1"/>
  <c r="D412" i="1"/>
  <c r="C412" i="1"/>
  <c r="B412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H411" i="1"/>
  <c r="G411" i="1"/>
  <c r="D411" i="1"/>
  <c r="C411" i="1"/>
  <c r="B411" i="1"/>
  <c r="AY410" i="1"/>
  <c r="AX410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H410" i="1"/>
  <c r="G410" i="1"/>
  <c r="D410" i="1"/>
  <c r="C410" i="1"/>
  <c r="B410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H409" i="1"/>
  <c r="G409" i="1"/>
  <c r="D409" i="1"/>
  <c r="C409" i="1"/>
  <c r="B409" i="1"/>
  <c r="AY408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H408" i="1"/>
  <c r="G408" i="1"/>
  <c r="D408" i="1"/>
  <c r="C408" i="1"/>
  <c r="B408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H407" i="1"/>
  <c r="G407" i="1"/>
  <c r="D407" i="1"/>
  <c r="C407" i="1"/>
  <c r="B407" i="1"/>
  <c r="AY396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H396" i="1"/>
  <c r="G396" i="1"/>
  <c r="D396" i="1"/>
  <c r="C396" i="1"/>
  <c r="B396" i="1"/>
  <c r="AY395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H395" i="1"/>
  <c r="G395" i="1"/>
  <c r="D395" i="1"/>
  <c r="C395" i="1"/>
  <c r="B395" i="1"/>
  <c r="AY394" i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H394" i="1"/>
  <c r="G394" i="1"/>
  <c r="D394" i="1"/>
  <c r="C394" i="1"/>
  <c r="B394" i="1"/>
  <c r="AY393" i="1"/>
  <c r="AX393" i="1"/>
  <c r="AW393" i="1"/>
  <c r="AV393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H393" i="1"/>
  <c r="G393" i="1"/>
  <c r="D393" i="1"/>
  <c r="C393" i="1"/>
  <c r="B393" i="1"/>
  <c r="AY392" i="1"/>
  <c r="AX392" i="1"/>
  <c r="AW392" i="1"/>
  <c r="AV392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H392" i="1"/>
  <c r="G392" i="1"/>
  <c r="D392" i="1"/>
  <c r="C392" i="1"/>
  <c r="B392" i="1"/>
  <c r="AY391" i="1"/>
  <c r="AX391" i="1"/>
  <c r="AW391" i="1"/>
  <c r="AV391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H391" i="1"/>
  <c r="G391" i="1"/>
  <c r="D391" i="1"/>
  <c r="C391" i="1"/>
  <c r="B391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H390" i="1"/>
  <c r="G390" i="1"/>
  <c r="D390" i="1"/>
  <c r="C390" i="1"/>
  <c r="B390" i="1"/>
  <c r="AY389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H389" i="1"/>
  <c r="G389" i="1"/>
  <c r="D389" i="1"/>
  <c r="C389" i="1"/>
  <c r="B389" i="1"/>
  <c r="AY388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H388" i="1"/>
  <c r="G388" i="1"/>
  <c r="D388" i="1"/>
  <c r="C388" i="1"/>
  <c r="B388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H387" i="1"/>
  <c r="G387" i="1"/>
  <c r="D387" i="1"/>
  <c r="C387" i="1"/>
  <c r="B387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H386" i="1"/>
  <c r="G386" i="1"/>
  <c r="D386" i="1"/>
  <c r="C386" i="1"/>
  <c r="B386" i="1"/>
  <c r="AY385" i="1"/>
  <c r="AX385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H385" i="1"/>
  <c r="G385" i="1"/>
  <c r="D385" i="1"/>
  <c r="C385" i="1"/>
  <c r="B385" i="1"/>
  <c r="AY384" i="1"/>
  <c r="AX384" i="1"/>
  <c r="AW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H384" i="1"/>
  <c r="G384" i="1"/>
  <c r="D384" i="1"/>
  <c r="C384" i="1"/>
  <c r="B384" i="1"/>
  <c r="AY383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H383" i="1"/>
  <c r="G383" i="1"/>
  <c r="D383" i="1"/>
  <c r="C383" i="1"/>
  <c r="B383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H382" i="1"/>
  <c r="G382" i="1"/>
  <c r="D382" i="1"/>
  <c r="C382" i="1"/>
  <c r="B382" i="1"/>
  <c r="AY381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H381" i="1"/>
  <c r="G381" i="1"/>
  <c r="D381" i="1"/>
  <c r="C381" i="1"/>
  <c r="B381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H380" i="1"/>
  <c r="G380" i="1"/>
  <c r="D380" i="1"/>
  <c r="C380" i="1"/>
  <c r="B380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H379" i="1"/>
  <c r="G379" i="1"/>
  <c r="D379" i="1"/>
  <c r="C379" i="1"/>
  <c r="B379" i="1"/>
  <c r="AY378" i="1"/>
  <c r="AX378" i="1"/>
  <c r="AW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H378" i="1"/>
  <c r="G378" i="1"/>
  <c r="D378" i="1"/>
  <c r="C378" i="1"/>
  <c r="B378" i="1"/>
  <c r="AY377" i="1"/>
  <c r="AX377" i="1"/>
  <c r="AW377" i="1"/>
  <c r="AV377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H377" i="1"/>
  <c r="G377" i="1"/>
  <c r="D377" i="1"/>
  <c r="C377" i="1"/>
  <c r="B377" i="1"/>
  <c r="AY376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H376" i="1"/>
  <c r="G376" i="1"/>
  <c r="D376" i="1"/>
  <c r="C376" i="1"/>
  <c r="B376" i="1"/>
  <c r="AY375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H375" i="1"/>
  <c r="G375" i="1"/>
  <c r="D375" i="1"/>
  <c r="C375" i="1"/>
  <c r="B375" i="1"/>
  <c r="AY374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H374" i="1"/>
  <c r="G374" i="1"/>
  <c r="D374" i="1"/>
  <c r="C374" i="1"/>
  <c r="B374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H373" i="1"/>
  <c r="G373" i="1"/>
  <c r="D373" i="1"/>
  <c r="C373" i="1"/>
  <c r="B373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H372" i="1"/>
  <c r="G372" i="1"/>
  <c r="D372" i="1"/>
  <c r="C372" i="1"/>
  <c r="B372" i="1"/>
  <c r="AY371" i="1"/>
  <c r="AX371" i="1"/>
  <c r="AW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H371" i="1"/>
  <c r="G371" i="1"/>
  <c r="D371" i="1"/>
  <c r="C371" i="1"/>
  <c r="B371" i="1"/>
  <c r="AY370" i="1"/>
  <c r="AX370" i="1"/>
  <c r="AW370" i="1"/>
  <c r="AV370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H370" i="1"/>
  <c r="G370" i="1"/>
  <c r="D370" i="1"/>
  <c r="C370" i="1"/>
  <c r="B370" i="1"/>
  <c r="AY369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H369" i="1"/>
  <c r="G369" i="1"/>
  <c r="D369" i="1"/>
  <c r="C369" i="1"/>
  <c r="B369" i="1"/>
  <c r="AY368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H368" i="1"/>
  <c r="G368" i="1"/>
  <c r="D368" i="1"/>
  <c r="C368" i="1"/>
  <c r="B368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H367" i="1"/>
  <c r="G367" i="1"/>
  <c r="D367" i="1"/>
  <c r="C367" i="1"/>
  <c r="B367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H366" i="1"/>
  <c r="G366" i="1"/>
  <c r="D366" i="1"/>
  <c r="C366" i="1"/>
  <c r="B366" i="1"/>
  <c r="AY365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H365" i="1"/>
  <c r="G365" i="1"/>
  <c r="D365" i="1"/>
  <c r="C365" i="1"/>
  <c r="B365" i="1"/>
  <c r="AY364" i="1"/>
  <c r="AX364" i="1"/>
  <c r="AW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H364" i="1"/>
  <c r="G364" i="1"/>
  <c r="D364" i="1"/>
  <c r="C364" i="1"/>
  <c r="B364" i="1"/>
  <c r="AY363" i="1"/>
  <c r="AX363" i="1"/>
  <c r="AW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H363" i="1"/>
  <c r="G363" i="1"/>
  <c r="D363" i="1"/>
  <c r="C363" i="1"/>
  <c r="B363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H362" i="1"/>
  <c r="G362" i="1"/>
  <c r="D362" i="1"/>
  <c r="C362" i="1"/>
  <c r="B362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H361" i="1"/>
  <c r="G361" i="1"/>
  <c r="D361" i="1"/>
  <c r="C361" i="1"/>
  <c r="B361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H360" i="1"/>
  <c r="G360" i="1"/>
  <c r="D360" i="1"/>
  <c r="C360" i="1"/>
  <c r="B360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H359" i="1"/>
  <c r="G359" i="1"/>
  <c r="D359" i="1"/>
  <c r="C359" i="1"/>
  <c r="B359" i="1"/>
  <c r="AY358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H358" i="1"/>
  <c r="G358" i="1"/>
  <c r="D358" i="1"/>
  <c r="C358" i="1"/>
  <c r="B358" i="1"/>
  <c r="AY357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H357" i="1"/>
  <c r="G357" i="1"/>
  <c r="D357" i="1"/>
  <c r="C357" i="1"/>
  <c r="B357" i="1"/>
  <c r="AY356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H356" i="1"/>
  <c r="G356" i="1"/>
  <c r="D356" i="1"/>
  <c r="C356" i="1"/>
  <c r="B356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H355" i="1"/>
  <c r="G355" i="1"/>
  <c r="D355" i="1"/>
  <c r="C355" i="1"/>
  <c r="B355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H354" i="1"/>
  <c r="G354" i="1"/>
  <c r="D354" i="1"/>
  <c r="C354" i="1"/>
  <c r="B354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H353" i="1"/>
  <c r="G353" i="1"/>
  <c r="D353" i="1"/>
  <c r="C353" i="1"/>
  <c r="B353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H352" i="1"/>
  <c r="G352" i="1"/>
  <c r="D352" i="1"/>
  <c r="C352" i="1"/>
  <c r="B352" i="1"/>
  <c r="AY351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H351" i="1"/>
  <c r="G351" i="1"/>
  <c r="D351" i="1"/>
  <c r="C351" i="1"/>
  <c r="B351" i="1"/>
  <c r="AY350" i="1"/>
  <c r="AX350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H350" i="1"/>
  <c r="G350" i="1"/>
  <c r="D350" i="1"/>
  <c r="C350" i="1"/>
  <c r="B350" i="1"/>
  <c r="AY349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H349" i="1"/>
  <c r="G349" i="1"/>
  <c r="D349" i="1"/>
  <c r="C349" i="1"/>
  <c r="B349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H348" i="1"/>
  <c r="G348" i="1"/>
  <c r="D348" i="1"/>
  <c r="C348" i="1"/>
  <c r="B348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H347" i="1"/>
  <c r="G347" i="1"/>
  <c r="D347" i="1"/>
  <c r="C347" i="1"/>
  <c r="B347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H346" i="1"/>
  <c r="G346" i="1"/>
  <c r="D346" i="1"/>
  <c r="C346" i="1"/>
  <c r="B346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H345" i="1"/>
  <c r="G345" i="1"/>
  <c r="D345" i="1"/>
  <c r="C345" i="1"/>
  <c r="B345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H344" i="1"/>
  <c r="G344" i="1"/>
  <c r="D344" i="1"/>
  <c r="C344" i="1"/>
  <c r="B344" i="1"/>
  <c r="AY343" i="1"/>
  <c r="AX343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H343" i="1"/>
  <c r="G343" i="1"/>
  <c r="D343" i="1"/>
  <c r="C343" i="1"/>
  <c r="B343" i="1"/>
  <c r="AY342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H342" i="1"/>
  <c r="G342" i="1"/>
  <c r="D342" i="1"/>
  <c r="C342" i="1"/>
  <c r="B342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H341" i="1"/>
  <c r="G341" i="1"/>
  <c r="D341" i="1"/>
  <c r="C341" i="1"/>
  <c r="B341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H340" i="1"/>
  <c r="G340" i="1"/>
  <c r="D340" i="1"/>
  <c r="C340" i="1"/>
  <c r="B340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H339" i="1"/>
  <c r="G339" i="1"/>
  <c r="D339" i="1"/>
  <c r="C339" i="1"/>
  <c r="B339" i="1"/>
  <c r="AY338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H338" i="1"/>
  <c r="G338" i="1"/>
  <c r="D338" i="1"/>
  <c r="C338" i="1"/>
  <c r="B338" i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H337" i="1"/>
  <c r="G337" i="1"/>
  <c r="D337" i="1"/>
  <c r="C337" i="1"/>
  <c r="B337" i="1"/>
  <c r="AY336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H336" i="1"/>
  <c r="G336" i="1"/>
  <c r="D336" i="1"/>
  <c r="C336" i="1"/>
  <c r="B336" i="1"/>
  <c r="AY335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H335" i="1"/>
  <c r="G335" i="1"/>
  <c r="D335" i="1"/>
  <c r="C335" i="1"/>
  <c r="B335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H334" i="1"/>
  <c r="G334" i="1"/>
  <c r="D334" i="1"/>
  <c r="C334" i="1"/>
  <c r="B334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H333" i="1"/>
  <c r="G333" i="1"/>
  <c r="D333" i="1"/>
  <c r="C333" i="1"/>
  <c r="B333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H332" i="1"/>
  <c r="G332" i="1"/>
  <c r="D332" i="1"/>
  <c r="C332" i="1"/>
  <c r="B332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H331" i="1"/>
  <c r="G331" i="1"/>
  <c r="D331" i="1"/>
  <c r="C331" i="1"/>
  <c r="B331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H330" i="1"/>
  <c r="G330" i="1"/>
  <c r="D330" i="1"/>
  <c r="C330" i="1"/>
  <c r="B330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H329" i="1"/>
  <c r="G329" i="1"/>
  <c r="D329" i="1"/>
  <c r="C329" i="1"/>
  <c r="B329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H328" i="1"/>
  <c r="G328" i="1"/>
  <c r="D328" i="1"/>
  <c r="C328" i="1"/>
  <c r="B328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H327" i="1"/>
  <c r="G327" i="1"/>
  <c r="D327" i="1"/>
  <c r="C327" i="1"/>
  <c r="B327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H326" i="1"/>
  <c r="G326" i="1"/>
  <c r="D326" i="1"/>
  <c r="C326" i="1"/>
  <c r="B326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H325" i="1"/>
  <c r="G325" i="1"/>
  <c r="D325" i="1"/>
  <c r="C325" i="1"/>
  <c r="B325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H324" i="1"/>
  <c r="G324" i="1"/>
  <c r="D324" i="1"/>
  <c r="C324" i="1"/>
  <c r="B324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H323" i="1"/>
  <c r="G323" i="1"/>
  <c r="D323" i="1"/>
  <c r="C323" i="1"/>
  <c r="B323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H322" i="1"/>
  <c r="G322" i="1"/>
  <c r="D322" i="1"/>
  <c r="C322" i="1"/>
  <c r="B322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H321" i="1"/>
  <c r="G321" i="1"/>
  <c r="D321" i="1"/>
  <c r="C321" i="1"/>
  <c r="B321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H320" i="1"/>
  <c r="G320" i="1"/>
  <c r="D320" i="1"/>
  <c r="C320" i="1"/>
  <c r="B320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H319" i="1"/>
  <c r="G319" i="1"/>
  <c r="D319" i="1"/>
  <c r="C319" i="1"/>
  <c r="B319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H318" i="1"/>
  <c r="G318" i="1"/>
  <c r="D318" i="1"/>
  <c r="C318" i="1"/>
  <c r="B318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H317" i="1"/>
  <c r="G317" i="1"/>
  <c r="D317" i="1"/>
  <c r="C317" i="1"/>
  <c r="B317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H316" i="1"/>
  <c r="G316" i="1"/>
  <c r="D316" i="1"/>
  <c r="C316" i="1"/>
  <c r="B316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H315" i="1"/>
  <c r="G315" i="1"/>
  <c r="D315" i="1"/>
  <c r="C315" i="1"/>
  <c r="B315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H314" i="1"/>
  <c r="G314" i="1"/>
  <c r="D314" i="1"/>
  <c r="C314" i="1"/>
  <c r="B314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H313" i="1"/>
  <c r="G313" i="1"/>
  <c r="D313" i="1"/>
  <c r="C313" i="1"/>
  <c r="B313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H312" i="1"/>
  <c r="G312" i="1"/>
  <c r="D312" i="1"/>
  <c r="C312" i="1"/>
  <c r="B312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H311" i="1"/>
  <c r="G311" i="1"/>
  <c r="D311" i="1"/>
  <c r="C311" i="1"/>
  <c r="B31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D301" i="1"/>
  <c r="C301" i="1"/>
  <c r="B301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D300" i="1"/>
  <c r="C300" i="1"/>
  <c r="B300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D299" i="1"/>
  <c r="C299" i="1"/>
  <c r="B299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D298" i="1"/>
  <c r="C298" i="1"/>
  <c r="B298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D297" i="1"/>
  <c r="C297" i="1"/>
  <c r="B297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D296" i="1"/>
  <c r="C296" i="1"/>
  <c r="B296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D295" i="1"/>
  <c r="C295" i="1"/>
  <c r="B295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H294" i="1"/>
  <c r="G294" i="1"/>
  <c r="D294" i="1"/>
  <c r="C294" i="1"/>
  <c r="B294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D293" i="1"/>
  <c r="C293" i="1"/>
  <c r="B293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D292" i="1"/>
  <c r="C292" i="1"/>
  <c r="B292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D291" i="1"/>
  <c r="C291" i="1"/>
  <c r="B291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D290" i="1"/>
  <c r="C290" i="1"/>
  <c r="B290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H289" i="1"/>
  <c r="G289" i="1"/>
  <c r="D289" i="1"/>
  <c r="C289" i="1"/>
  <c r="B289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D288" i="1"/>
  <c r="C288" i="1"/>
  <c r="B288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D287" i="1"/>
  <c r="C287" i="1"/>
  <c r="B287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D286" i="1"/>
  <c r="C286" i="1"/>
  <c r="B286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D285" i="1"/>
  <c r="C285" i="1"/>
  <c r="B285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D284" i="1"/>
  <c r="C284" i="1"/>
  <c r="B284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D283" i="1"/>
  <c r="C283" i="1"/>
  <c r="B283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H282" i="1"/>
  <c r="G282" i="1"/>
  <c r="D282" i="1"/>
  <c r="C282" i="1"/>
  <c r="B282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H281" i="1"/>
  <c r="G281" i="1"/>
  <c r="D281" i="1"/>
  <c r="C281" i="1"/>
  <c r="B281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D280" i="1"/>
  <c r="C280" i="1"/>
  <c r="B280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D279" i="1"/>
  <c r="C279" i="1"/>
  <c r="B279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D278" i="1"/>
  <c r="C278" i="1"/>
  <c r="B278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D277" i="1"/>
  <c r="C277" i="1"/>
  <c r="B277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H276" i="1"/>
  <c r="G276" i="1"/>
  <c r="D276" i="1"/>
  <c r="C276" i="1"/>
  <c r="B276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D275" i="1"/>
  <c r="C275" i="1"/>
  <c r="B275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H274" i="1"/>
  <c r="G274" i="1"/>
  <c r="D274" i="1"/>
  <c r="C274" i="1"/>
  <c r="B274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D273" i="1"/>
  <c r="C273" i="1"/>
  <c r="B273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D272" i="1"/>
  <c r="C272" i="1"/>
  <c r="B272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D271" i="1"/>
  <c r="C271" i="1"/>
  <c r="B271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H270" i="1"/>
  <c r="G270" i="1"/>
  <c r="D270" i="1"/>
  <c r="C270" i="1"/>
  <c r="B270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D269" i="1"/>
  <c r="C269" i="1"/>
  <c r="B269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D268" i="1"/>
  <c r="C268" i="1"/>
  <c r="B268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D267" i="1"/>
  <c r="C267" i="1"/>
  <c r="B267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D266" i="1"/>
  <c r="C266" i="1"/>
  <c r="B266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D265" i="1"/>
  <c r="C265" i="1"/>
  <c r="B265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D264" i="1"/>
  <c r="C264" i="1"/>
  <c r="B264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D263" i="1"/>
  <c r="C263" i="1"/>
  <c r="B263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H262" i="1"/>
  <c r="G262" i="1"/>
  <c r="D262" i="1"/>
  <c r="C262" i="1"/>
  <c r="B262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D261" i="1"/>
  <c r="C261" i="1"/>
  <c r="B261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D260" i="1"/>
  <c r="C260" i="1"/>
  <c r="B260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D259" i="1"/>
  <c r="C259" i="1"/>
  <c r="B259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H258" i="1"/>
  <c r="G258" i="1"/>
  <c r="D258" i="1"/>
  <c r="C258" i="1"/>
  <c r="B258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D257" i="1"/>
  <c r="C257" i="1"/>
  <c r="B257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D256" i="1"/>
  <c r="C256" i="1"/>
  <c r="B256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D255" i="1"/>
  <c r="C255" i="1"/>
  <c r="B255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D254" i="1"/>
  <c r="C254" i="1"/>
  <c r="B254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D253" i="1"/>
  <c r="C253" i="1"/>
  <c r="B253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D252" i="1"/>
  <c r="C252" i="1"/>
  <c r="B252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D251" i="1"/>
  <c r="C251" i="1"/>
  <c r="B251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D250" i="1"/>
  <c r="C250" i="1"/>
  <c r="B250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H249" i="1"/>
  <c r="G249" i="1"/>
  <c r="D249" i="1"/>
  <c r="C249" i="1"/>
  <c r="B249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D248" i="1"/>
  <c r="C248" i="1"/>
  <c r="B248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D247" i="1"/>
  <c r="C247" i="1"/>
  <c r="B247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D246" i="1"/>
  <c r="C246" i="1"/>
  <c r="B246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D245" i="1"/>
  <c r="C245" i="1"/>
  <c r="B245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H244" i="1"/>
  <c r="G244" i="1"/>
  <c r="D244" i="1"/>
  <c r="C244" i="1"/>
  <c r="B244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D243" i="1"/>
  <c r="C243" i="1"/>
  <c r="B243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D242" i="1"/>
  <c r="C242" i="1"/>
  <c r="B242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H241" i="1"/>
  <c r="G241" i="1"/>
  <c r="D241" i="1"/>
  <c r="C241" i="1"/>
  <c r="B241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D240" i="1"/>
  <c r="C240" i="1"/>
  <c r="B240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H239" i="1"/>
  <c r="G239" i="1"/>
  <c r="D239" i="1"/>
  <c r="C239" i="1"/>
  <c r="B239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D238" i="1"/>
  <c r="C238" i="1"/>
  <c r="B238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D237" i="1"/>
  <c r="C237" i="1"/>
  <c r="B237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D236" i="1"/>
  <c r="C236" i="1"/>
  <c r="B236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D235" i="1"/>
  <c r="C235" i="1"/>
  <c r="B235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H224" i="1"/>
  <c r="G224" i="1"/>
  <c r="D224" i="1"/>
  <c r="C224" i="1"/>
  <c r="B224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H223" i="1"/>
  <c r="G223" i="1"/>
  <c r="D223" i="1"/>
  <c r="C223" i="1"/>
  <c r="B223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H222" i="1"/>
  <c r="G222" i="1"/>
  <c r="D222" i="1"/>
  <c r="C222" i="1"/>
  <c r="B222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H221" i="1"/>
  <c r="G221" i="1"/>
  <c r="D221" i="1"/>
  <c r="C221" i="1"/>
  <c r="B221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H220" i="1"/>
  <c r="G220" i="1"/>
  <c r="D220" i="1"/>
  <c r="C220" i="1"/>
  <c r="B220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H219" i="1"/>
  <c r="G219" i="1"/>
  <c r="D219" i="1"/>
  <c r="C219" i="1"/>
  <c r="B219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H218" i="1"/>
  <c r="G218" i="1"/>
  <c r="D218" i="1"/>
  <c r="C218" i="1"/>
  <c r="B218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H217" i="1"/>
  <c r="G217" i="1"/>
  <c r="D217" i="1"/>
  <c r="C217" i="1"/>
  <c r="B217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H216" i="1"/>
  <c r="G216" i="1"/>
  <c r="D216" i="1"/>
  <c r="C216" i="1"/>
  <c r="B216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H215" i="1"/>
  <c r="G215" i="1"/>
  <c r="D215" i="1"/>
  <c r="C215" i="1"/>
  <c r="B215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H214" i="1"/>
  <c r="G214" i="1"/>
  <c r="D214" i="1"/>
  <c r="C214" i="1"/>
  <c r="B214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H213" i="1"/>
  <c r="G213" i="1"/>
  <c r="D213" i="1"/>
  <c r="C213" i="1"/>
  <c r="B213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H212" i="1"/>
  <c r="G212" i="1"/>
  <c r="D212" i="1"/>
  <c r="C212" i="1"/>
  <c r="B212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H211" i="1"/>
  <c r="G211" i="1"/>
  <c r="D211" i="1"/>
  <c r="C211" i="1"/>
  <c r="B211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H210" i="1"/>
  <c r="G210" i="1"/>
  <c r="D210" i="1"/>
  <c r="C210" i="1"/>
  <c r="B210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H209" i="1"/>
  <c r="G209" i="1"/>
  <c r="D209" i="1"/>
  <c r="C209" i="1"/>
  <c r="B209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H208" i="1"/>
  <c r="G208" i="1"/>
  <c r="D208" i="1"/>
  <c r="C208" i="1"/>
  <c r="B208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H207" i="1"/>
  <c r="G207" i="1"/>
  <c r="D207" i="1"/>
  <c r="C207" i="1"/>
  <c r="B207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H206" i="1"/>
  <c r="G206" i="1"/>
  <c r="D206" i="1"/>
  <c r="C206" i="1"/>
  <c r="B206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H195" i="1"/>
  <c r="G195" i="1"/>
  <c r="D195" i="1"/>
  <c r="C195" i="1"/>
  <c r="B195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H194" i="1"/>
  <c r="G194" i="1"/>
  <c r="D194" i="1"/>
  <c r="C194" i="1"/>
  <c r="B194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H193" i="1"/>
  <c r="G193" i="1"/>
  <c r="D193" i="1"/>
  <c r="C193" i="1"/>
  <c r="B193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H192" i="1"/>
  <c r="G192" i="1"/>
  <c r="D192" i="1"/>
  <c r="C192" i="1"/>
  <c r="B192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D191" i="1"/>
  <c r="C191" i="1"/>
  <c r="B191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H190" i="1"/>
  <c r="G190" i="1"/>
  <c r="D190" i="1"/>
  <c r="C190" i="1"/>
  <c r="B190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H189" i="1"/>
  <c r="G189" i="1"/>
  <c r="D189" i="1"/>
  <c r="C189" i="1"/>
  <c r="B189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H188" i="1"/>
  <c r="G188" i="1"/>
  <c r="D188" i="1"/>
  <c r="C188" i="1"/>
  <c r="B188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H187" i="1"/>
  <c r="G187" i="1"/>
  <c r="D187" i="1"/>
  <c r="C187" i="1"/>
  <c r="B187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H186" i="1"/>
  <c r="G186" i="1"/>
  <c r="D186" i="1"/>
  <c r="C186" i="1"/>
  <c r="B186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H185" i="1"/>
  <c r="G185" i="1"/>
  <c r="D185" i="1"/>
  <c r="C185" i="1"/>
  <c r="B185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D184" i="1"/>
  <c r="C184" i="1"/>
  <c r="B184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H173" i="1"/>
  <c r="G173" i="1"/>
  <c r="D173" i="1"/>
  <c r="C173" i="1"/>
  <c r="B173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H172" i="1"/>
  <c r="G172" i="1"/>
  <c r="D172" i="1"/>
  <c r="C172" i="1"/>
  <c r="B172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H171" i="1"/>
  <c r="G171" i="1"/>
  <c r="D171" i="1"/>
  <c r="C171" i="1"/>
  <c r="B171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H170" i="1"/>
  <c r="G170" i="1"/>
  <c r="D170" i="1"/>
  <c r="C170" i="1"/>
  <c r="B170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H169" i="1"/>
  <c r="G169" i="1"/>
  <c r="D169" i="1"/>
  <c r="C169" i="1"/>
  <c r="B169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H168" i="1"/>
  <c r="G168" i="1"/>
  <c r="D168" i="1"/>
  <c r="C168" i="1"/>
  <c r="B168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H167" i="1"/>
  <c r="G167" i="1"/>
  <c r="D167" i="1"/>
  <c r="C167" i="1"/>
  <c r="B167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H166" i="1"/>
  <c r="G166" i="1"/>
  <c r="D166" i="1"/>
  <c r="C166" i="1"/>
  <c r="B166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H165" i="1"/>
  <c r="G165" i="1"/>
  <c r="D165" i="1"/>
  <c r="C165" i="1"/>
  <c r="B165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H164" i="1"/>
  <c r="G164" i="1"/>
  <c r="D164" i="1"/>
  <c r="C164" i="1"/>
  <c r="B164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H163" i="1"/>
  <c r="G163" i="1"/>
  <c r="D163" i="1"/>
  <c r="C163" i="1"/>
  <c r="B163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H162" i="1"/>
  <c r="G162" i="1"/>
  <c r="D162" i="1"/>
  <c r="C162" i="1"/>
  <c r="B162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H161" i="1"/>
  <c r="G161" i="1"/>
  <c r="D161" i="1"/>
  <c r="C161" i="1"/>
  <c r="B161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H160" i="1"/>
  <c r="G160" i="1"/>
  <c r="D160" i="1"/>
  <c r="C160" i="1"/>
  <c r="B160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H159" i="1"/>
  <c r="G159" i="1"/>
  <c r="D159" i="1"/>
  <c r="C159" i="1"/>
  <c r="B159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H158" i="1"/>
  <c r="G158" i="1"/>
  <c r="D158" i="1"/>
  <c r="C158" i="1"/>
  <c r="B158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H157" i="1"/>
  <c r="G157" i="1"/>
  <c r="D157" i="1"/>
  <c r="C157" i="1"/>
  <c r="B157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H156" i="1"/>
  <c r="G156" i="1"/>
  <c r="D156" i="1"/>
  <c r="C156" i="1"/>
  <c r="B156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H155" i="1"/>
  <c r="G155" i="1"/>
  <c r="D155" i="1"/>
  <c r="C155" i="1"/>
  <c r="B155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H154" i="1"/>
  <c r="G154" i="1"/>
  <c r="D154" i="1"/>
  <c r="C154" i="1"/>
  <c r="B154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H153" i="1"/>
  <c r="G153" i="1"/>
  <c r="D153" i="1"/>
  <c r="C153" i="1"/>
  <c r="B153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H152" i="1"/>
  <c r="G152" i="1"/>
  <c r="D152" i="1"/>
  <c r="C152" i="1"/>
  <c r="B152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H151" i="1"/>
  <c r="G151" i="1"/>
  <c r="D151" i="1"/>
  <c r="C151" i="1"/>
  <c r="B151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D150" i="1"/>
  <c r="C150" i="1"/>
  <c r="B150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H149" i="1"/>
  <c r="G149" i="1"/>
  <c r="D149" i="1"/>
  <c r="C149" i="1"/>
  <c r="B149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D148" i="1"/>
  <c r="C148" i="1"/>
  <c r="B148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D147" i="1"/>
  <c r="C147" i="1"/>
  <c r="B147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D146" i="1"/>
  <c r="C146" i="1"/>
  <c r="B146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D145" i="1"/>
  <c r="C145" i="1"/>
  <c r="B145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D144" i="1"/>
  <c r="C144" i="1"/>
  <c r="B144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H138" i="1"/>
  <c r="G138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H137" i="1"/>
  <c r="G137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H136" i="1"/>
  <c r="G136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H135" i="1"/>
  <c r="G135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H134" i="1"/>
  <c r="G134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O133" i="1"/>
  <c r="N133" i="1"/>
  <c r="M133" i="1"/>
  <c r="K133" i="1"/>
  <c r="H133" i="1"/>
  <c r="G133" i="1"/>
  <c r="I195" i="1"/>
  <c r="I194" i="1"/>
  <c r="I615" i="1"/>
  <c r="I192" i="1"/>
  <c r="I565" i="1"/>
  <c r="I190" i="1"/>
  <c r="I519" i="1"/>
  <c r="I631" i="1"/>
  <c r="I535" i="1"/>
  <c r="I189" i="1"/>
  <c r="I187" i="1"/>
  <c r="I516" i="1"/>
  <c r="I613" i="1"/>
  <c r="I186" i="1"/>
  <c r="I514" i="1"/>
  <c r="I262" i="1"/>
  <c r="I612" i="1"/>
  <c r="I258" i="1"/>
  <c r="I557" i="1"/>
  <c r="I629" i="1"/>
  <c r="I151" i="1"/>
  <c r="I555" i="1"/>
  <c r="I499" i="1"/>
  <c r="I596" i="1"/>
  <c r="I244" i="1"/>
  <c r="I241" i="1"/>
  <c r="N139" i="1" l="1"/>
  <c r="K139" i="1"/>
  <c r="O139" i="1"/>
  <c r="K698" i="1"/>
  <c r="K743" i="1"/>
  <c r="AS468" i="1"/>
  <c r="AW468" i="1"/>
  <c r="G471" i="1"/>
  <c r="U477" i="1"/>
  <c r="Y476" i="1"/>
  <c r="AC477" i="1"/>
  <c r="AD468" i="1"/>
  <c r="AP468" i="1"/>
  <c r="AX468" i="1"/>
  <c r="AK477" i="1"/>
  <c r="AB140" i="7"/>
  <c r="AB139" i="7"/>
  <c r="M477" i="1"/>
  <c r="AC130" i="7"/>
  <c r="AD130" i="7"/>
  <c r="M130" i="7" s="1"/>
  <c r="AE130" i="7"/>
  <c r="Q130" i="7" s="1"/>
  <c r="AF130" i="7"/>
  <c r="AF122" i="7"/>
  <c r="AC122" i="7"/>
  <c r="AE122" i="7"/>
  <c r="AD122" i="7"/>
  <c r="M122" i="7" s="1"/>
  <c r="AF114" i="7"/>
  <c r="AC114" i="7"/>
  <c r="AE114" i="7"/>
  <c r="AD114" i="7"/>
  <c r="M114" i="7" s="1"/>
  <c r="AF110" i="7"/>
  <c r="AC110" i="7"/>
  <c r="AD110" i="7"/>
  <c r="M110" i="7" s="1"/>
  <c r="AE110" i="7"/>
  <c r="Q110" i="7" s="1"/>
  <c r="AF102" i="7"/>
  <c r="T102" i="7" s="1"/>
  <c r="AC102" i="7"/>
  <c r="AE102" i="7"/>
  <c r="AD102" i="7"/>
  <c r="M102" i="7" s="1"/>
  <c r="AF94" i="7"/>
  <c r="AC94" i="7"/>
  <c r="AE94" i="7"/>
  <c r="AD94" i="7"/>
  <c r="M94" i="7" s="1"/>
  <c r="AF86" i="7"/>
  <c r="AC86" i="7"/>
  <c r="AE86" i="7"/>
  <c r="AD86" i="7"/>
  <c r="M86" i="7" s="1"/>
  <c r="AE74" i="7"/>
  <c r="AF74" i="7"/>
  <c r="AC74" i="7"/>
  <c r="AD74" i="7"/>
  <c r="M74" i="7" s="1"/>
  <c r="AE70" i="7"/>
  <c r="AF70" i="7"/>
  <c r="AC70" i="7"/>
  <c r="AD70" i="7"/>
  <c r="M70" i="7" s="1"/>
  <c r="AE66" i="7"/>
  <c r="AF66" i="7"/>
  <c r="AC66" i="7"/>
  <c r="AD66" i="7"/>
  <c r="M66" i="7" s="1"/>
  <c r="AE58" i="7"/>
  <c r="Q58" i="7" s="1"/>
  <c r="AF58" i="7"/>
  <c r="AC58" i="7"/>
  <c r="AD58" i="7"/>
  <c r="M58" i="7" s="1"/>
  <c r="AE54" i="7"/>
  <c r="AF54" i="7"/>
  <c r="T54" i="7" s="1"/>
  <c r="AC54" i="7"/>
  <c r="AD54" i="7"/>
  <c r="M54" i="7" s="1"/>
  <c r="AE50" i="7"/>
  <c r="AF50" i="7"/>
  <c r="AC50" i="7"/>
  <c r="AD50" i="7"/>
  <c r="M50" i="7" s="1"/>
  <c r="AE46" i="7"/>
  <c r="Q46" i="7" s="1"/>
  <c r="AF46" i="7"/>
  <c r="AC46" i="7"/>
  <c r="AD46" i="7"/>
  <c r="M46" i="7" s="1"/>
  <c r="AE42" i="7"/>
  <c r="Q42" i="7" s="1"/>
  <c r="AF42" i="7"/>
  <c r="AC42" i="7"/>
  <c r="H42" i="7" s="1"/>
  <c r="AD42" i="7"/>
  <c r="M42" i="7" s="1"/>
  <c r="AE38" i="7"/>
  <c r="AF38" i="7"/>
  <c r="AC38" i="7"/>
  <c r="AD38" i="7"/>
  <c r="M38" i="7" s="1"/>
  <c r="AE34" i="7"/>
  <c r="AF34" i="7"/>
  <c r="AC34" i="7"/>
  <c r="AD34" i="7"/>
  <c r="AE30" i="7"/>
  <c r="V140" i="7"/>
  <c r="AF30" i="7"/>
  <c r="AC30" i="7"/>
  <c r="AD30" i="7"/>
  <c r="AE22" i="7"/>
  <c r="Q22" i="7" s="1"/>
  <c r="AF22" i="7"/>
  <c r="AC22" i="7"/>
  <c r="AD22" i="7"/>
  <c r="M22" i="7" s="1"/>
  <c r="AE18" i="7"/>
  <c r="AF18" i="7"/>
  <c r="AC18" i="7"/>
  <c r="AD18" i="7"/>
  <c r="M18" i="7" s="1"/>
  <c r="AE14" i="7"/>
  <c r="AF14" i="7"/>
  <c r="AC14" i="7"/>
  <c r="AD14" i="7"/>
  <c r="M14" i="7" s="1"/>
  <c r="AE10" i="7"/>
  <c r="AF10" i="7"/>
  <c r="AC10" i="7"/>
  <c r="AD10" i="7"/>
  <c r="V139" i="7"/>
  <c r="AE6" i="7"/>
  <c r="AF6" i="7"/>
  <c r="AC6" i="7"/>
  <c r="AD6" i="7"/>
  <c r="M6" i="7" s="1"/>
  <c r="V142" i="7"/>
  <c r="AD5" i="7"/>
  <c r="AC5" i="7"/>
  <c r="AF5" i="7"/>
  <c r="AE5" i="7"/>
  <c r="AC129" i="7"/>
  <c r="AF129" i="7"/>
  <c r="AD129" i="7"/>
  <c r="M129" i="7" s="1"/>
  <c r="AE129" i="7"/>
  <c r="Q129" i="7" s="1"/>
  <c r="AC125" i="7"/>
  <c r="AF125" i="7"/>
  <c r="AD125" i="7"/>
  <c r="AE125" i="7"/>
  <c r="AF121" i="7"/>
  <c r="AC121" i="7"/>
  <c r="AE121" i="7"/>
  <c r="AD121" i="7"/>
  <c r="AF117" i="7"/>
  <c r="AC117" i="7"/>
  <c r="AD117" i="7"/>
  <c r="M117" i="7" s="1"/>
  <c r="AE117" i="7"/>
  <c r="AF113" i="7"/>
  <c r="AC113" i="7"/>
  <c r="AE113" i="7"/>
  <c r="Q113" i="7" s="1"/>
  <c r="AD113" i="7"/>
  <c r="M113" i="7" s="1"/>
  <c r="AF109" i="7"/>
  <c r="AC109" i="7"/>
  <c r="AD109" i="7"/>
  <c r="M109" i="7" s="1"/>
  <c r="AE109" i="7"/>
  <c r="Q109" i="7" s="1"/>
  <c r="AF105" i="7"/>
  <c r="T105" i="7" s="1"/>
  <c r="AC105" i="7"/>
  <c r="AD105" i="7"/>
  <c r="M105" i="7" s="1"/>
  <c r="AE105" i="7"/>
  <c r="AF101" i="7"/>
  <c r="AC101" i="7"/>
  <c r="AD101" i="7"/>
  <c r="M101" i="7" s="1"/>
  <c r="AE101" i="7"/>
  <c r="AF97" i="7"/>
  <c r="AC97" i="7"/>
  <c r="AD97" i="7"/>
  <c r="M97" i="7" s="1"/>
  <c r="AE97" i="7"/>
  <c r="AF93" i="7"/>
  <c r="AC93" i="7"/>
  <c r="AD93" i="7"/>
  <c r="M93" i="7" s="1"/>
  <c r="AE93" i="7"/>
  <c r="AF89" i="7"/>
  <c r="AC89" i="7"/>
  <c r="AD89" i="7"/>
  <c r="M89" i="7" s="1"/>
  <c r="AE89" i="7"/>
  <c r="AF85" i="7"/>
  <c r="T85" i="7" s="1"/>
  <c r="AC85" i="7"/>
  <c r="AD85" i="7"/>
  <c r="M85" i="7" s="1"/>
  <c r="AE85" i="7"/>
  <c r="AF81" i="7"/>
  <c r="AC81" i="7"/>
  <c r="AD81" i="7"/>
  <c r="M81" i="7" s="1"/>
  <c r="AE81" i="7"/>
  <c r="AE77" i="7"/>
  <c r="Q77" i="7" s="1"/>
  <c r="AF77" i="7"/>
  <c r="AC77" i="7"/>
  <c r="AD77" i="7"/>
  <c r="M77" i="7" s="1"/>
  <c r="AE73" i="7"/>
  <c r="AF73" i="7"/>
  <c r="AC73" i="7"/>
  <c r="AD73" i="7"/>
  <c r="M73" i="7" s="1"/>
  <c r="AE69" i="7"/>
  <c r="AF69" i="7"/>
  <c r="AC69" i="7"/>
  <c r="AD69" i="7"/>
  <c r="M69" i="7" s="1"/>
  <c r="AE65" i="7"/>
  <c r="Q65" i="7" s="1"/>
  <c r="AF65" i="7"/>
  <c r="AC65" i="7"/>
  <c r="AD65" i="7"/>
  <c r="M65" i="7" s="1"/>
  <c r="AE61" i="7"/>
  <c r="AF61" i="7"/>
  <c r="AC61" i="7"/>
  <c r="AD61" i="7"/>
  <c r="M61" i="7" s="1"/>
  <c r="AE57" i="7"/>
  <c r="AF57" i="7"/>
  <c r="T57" i="7" s="1"/>
  <c r="AC57" i="7"/>
  <c r="AD57" i="7"/>
  <c r="M57" i="7" s="1"/>
  <c r="AE53" i="7"/>
  <c r="Q53" i="7" s="1"/>
  <c r="AF53" i="7"/>
  <c r="AC53" i="7"/>
  <c r="AD53" i="7"/>
  <c r="M53" i="7" s="1"/>
  <c r="AE49" i="7"/>
  <c r="AF49" i="7"/>
  <c r="T49" i="7" s="1"/>
  <c r="AC49" i="7"/>
  <c r="AD49" i="7"/>
  <c r="M49" i="7" s="1"/>
  <c r="AE45" i="7"/>
  <c r="AF45" i="7"/>
  <c r="T45" i="7" s="1"/>
  <c r="AC45" i="7"/>
  <c r="AD45" i="7"/>
  <c r="M45" i="7" s="1"/>
  <c r="AE41" i="7"/>
  <c r="AF41" i="7"/>
  <c r="AC41" i="7"/>
  <c r="H41" i="7" s="1"/>
  <c r="AD41" i="7"/>
  <c r="AE37" i="7"/>
  <c r="AF37" i="7"/>
  <c r="AC37" i="7"/>
  <c r="AD37" i="7"/>
  <c r="AE33" i="7"/>
  <c r="AF33" i="7"/>
  <c r="T33" i="7" s="1"/>
  <c r="AC33" i="7"/>
  <c r="AD33" i="7"/>
  <c r="M33" i="7" s="1"/>
  <c r="AE29" i="7"/>
  <c r="AF29" i="7"/>
  <c r="AC29" i="7"/>
  <c r="AD29" i="7"/>
  <c r="AE25" i="7"/>
  <c r="Q25" i="7" s="1"/>
  <c r="AF25" i="7"/>
  <c r="AC25" i="7"/>
  <c r="AD25" i="7"/>
  <c r="M25" i="7" s="1"/>
  <c r="AE21" i="7"/>
  <c r="AF21" i="7"/>
  <c r="T21" i="7" s="1"/>
  <c r="AC21" i="7"/>
  <c r="AD21" i="7"/>
  <c r="AE17" i="7"/>
  <c r="Q17" i="7" s="1"/>
  <c r="AF17" i="7"/>
  <c r="AC17" i="7"/>
  <c r="AD17" i="7"/>
  <c r="M17" i="7" s="1"/>
  <c r="AE13" i="7"/>
  <c r="AF13" i="7"/>
  <c r="AC13" i="7"/>
  <c r="AD13" i="7"/>
  <c r="M13" i="7" s="1"/>
  <c r="AE9" i="7"/>
  <c r="AF9" i="7"/>
  <c r="AC9" i="7"/>
  <c r="AD9" i="7"/>
  <c r="M9" i="7" s="1"/>
  <c r="AB142" i="7"/>
  <c r="AF82" i="7"/>
  <c r="AD82" i="7"/>
  <c r="M82" i="7" s="1"/>
  <c r="AE82" i="7"/>
  <c r="AC82" i="7"/>
  <c r="AC132" i="7"/>
  <c r="AE132" i="7"/>
  <c r="AF132" i="7"/>
  <c r="AD132" i="7"/>
  <c r="M132" i="7" s="1"/>
  <c r="AC128" i="7"/>
  <c r="AE128" i="7"/>
  <c r="AF128" i="7"/>
  <c r="AD128" i="7"/>
  <c r="M128" i="7" s="1"/>
  <c r="AF124" i="7"/>
  <c r="AC124" i="7"/>
  <c r="AD124" i="7"/>
  <c r="M124" i="7" s="1"/>
  <c r="AE124" i="7"/>
  <c r="AF120" i="7"/>
  <c r="AC120" i="7"/>
  <c r="AD120" i="7"/>
  <c r="AE120" i="7"/>
  <c r="AF116" i="7"/>
  <c r="AC116" i="7"/>
  <c r="AD116" i="7"/>
  <c r="M116" i="7" s="1"/>
  <c r="AE116" i="7"/>
  <c r="AF112" i="7"/>
  <c r="AC112" i="7"/>
  <c r="AD112" i="7"/>
  <c r="M112" i="7" s="1"/>
  <c r="AE112" i="7"/>
  <c r="AF108" i="7"/>
  <c r="AC108" i="7"/>
  <c r="AE108" i="7"/>
  <c r="Q108" i="7" s="1"/>
  <c r="AD108" i="7"/>
  <c r="M108" i="7" s="1"/>
  <c r="AF104" i="7"/>
  <c r="AC104" i="7"/>
  <c r="AD104" i="7"/>
  <c r="M104" i="7" s="1"/>
  <c r="AE104" i="7"/>
  <c r="Q104" i="7" s="1"/>
  <c r="AF100" i="7"/>
  <c r="AC100" i="7"/>
  <c r="AD100" i="7"/>
  <c r="M100" i="7" s="1"/>
  <c r="AE100" i="7"/>
  <c r="AF96" i="7"/>
  <c r="T96" i="7" s="1"/>
  <c r="AC96" i="7"/>
  <c r="AE96" i="7"/>
  <c r="AD96" i="7"/>
  <c r="M96" i="7" s="1"/>
  <c r="AF92" i="7"/>
  <c r="T92" i="7" s="1"/>
  <c r="AC92" i="7"/>
  <c r="AE92" i="7"/>
  <c r="AD92" i="7"/>
  <c r="M92" i="7" s="1"/>
  <c r="AF88" i="7"/>
  <c r="AC88" i="7"/>
  <c r="AE88" i="7"/>
  <c r="Q88" i="7" s="1"/>
  <c r="AD88" i="7"/>
  <c r="M88" i="7" s="1"/>
  <c r="AF84" i="7"/>
  <c r="T84" i="7" s="1"/>
  <c r="AC84" i="7"/>
  <c r="AE84" i="7"/>
  <c r="AD84" i="7"/>
  <c r="M84" i="7" s="1"/>
  <c r="AF80" i="7"/>
  <c r="AC80" i="7"/>
  <c r="AD80" i="7"/>
  <c r="M80" i="7" s="1"/>
  <c r="AE80" i="7"/>
  <c r="AE76" i="7"/>
  <c r="Q76" i="7" s="1"/>
  <c r="AF76" i="7"/>
  <c r="AC76" i="7"/>
  <c r="AD76" i="7"/>
  <c r="M76" i="7" s="1"/>
  <c r="AE72" i="7"/>
  <c r="AF72" i="7"/>
  <c r="AC72" i="7"/>
  <c r="AD72" i="7"/>
  <c r="M72" i="7" s="1"/>
  <c r="AE68" i="7"/>
  <c r="Q68" i="7" s="1"/>
  <c r="AF68" i="7"/>
  <c r="AC68" i="7"/>
  <c r="AD68" i="7"/>
  <c r="M68" i="7" s="1"/>
  <c r="AE64" i="7"/>
  <c r="AF64" i="7"/>
  <c r="T64" i="7" s="1"/>
  <c r="AC64" i="7"/>
  <c r="AD64" i="7"/>
  <c r="M64" i="7" s="1"/>
  <c r="AE60" i="7"/>
  <c r="Q60" i="7" s="1"/>
  <c r="AF60" i="7"/>
  <c r="T60" i="7" s="1"/>
  <c r="AC60" i="7"/>
  <c r="AD60" i="7"/>
  <c r="M60" i="7" s="1"/>
  <c r="AE56" i="7"/>
  <c r="AF56" i="7"/>
  <c r="AC56" i="7"/>
  <c r="AD56" i="7"/>
  <c r="AE52" i="7"/>
  <c r="Q52" i="7" s="1"/>
  <c r="AF52" i="7"/>
  <c r="T52" i="7" s="1"/>
  <c r="AC52" i="7"/>
  <c r="AD52" i="7"/>
  <c r="M52" i="7" s="1"/>
  <c r="AE48" i="7"/>
  <c r="AF48" i="7"/>
  <c r="AC48" i="7"/>
  <c r="AD48" i="7"/>
  <c r="M48" i="7" s="1"/>
  <c r="AE44" i="7"/>
  <c r="AF44" i="7"/>
  <c r="T44" i="7" s="1"/>
  <c r="AC44" i="7"/>
  <c r="AD44" i="7"/>
  <c r="M44" i="7" s="1"/>
  <c r="AE40" i="7"/>
  <c r="AF40" i="7"/>
  <c r="AC40" i="7"/>
  <c r="H40" i="7" s="1"/>
  <c r="AD40" i="7"/>
  <c r="M40" i="7" s="1"/>
  <c r="AE36" i="7"/>
  <c r="AF36" i="7"/>
  <c r="T36" i="7" s="1"/>
  <c r="AC36" i="7"/>
  <c r="AD36" i="7"/>
  <c r="M36" i="7" s="1"/>
  <c r="AE32" i="7"/>
  <c r="AF32" i="7"/>
  <c r="AD32" i="7"/>
  <c r="M32" i="7" s="1"/>
  <c r="AE28" i="7"/>
  <c r="AF28" i="7"/>
  <c r="AC28" i="7"/>
  <c r="AD28" i="7"/>
  <c r="M28" i="7" s="1"/>
  <c r="AE24" i="7"/>
  <c r="AF24" i="7"/>
  <c r="AC24" i="7"/>
  <c r="AD24" i="7"/>
  <c r="M24" i="7" s="1"/>
  <c r="AE20" i="7"/>
  <c r="AF20" i="7"/>
  <c r="AC20" i="7"/>
  <c r="AD20" i="7"/>
  <c r="AE16" i="7"/>
  <c r="AF16" i="7"/>
  <c r="AC16" i="7"/>
  <c r="AD16" i="7"/>
  <c r="M16" i="7" s="1"/>
  <c r="AE12" i="7"/>
  <c r="AF12" i="7"/>
  <c r="AC12" i="7"/>
  <c r="AD12" i="7"/>
  <c r="M12" i="7" s="1"/>
  <c r="AE8" i="7"/>
  <c r="AF8" i="7"/>
  <c r="AC8" i="7"/>
  <c r="AD8" i="7"/>
  <c r="AC126" i="7"/>
  <c r="AD126" i="7"/>
  <c r="M126" i="7" s="1"/>
  <c r="AE126" i="7"/>
  <c r="AF126" i="7"/>
  <c r="AF118" i="7"/>
  <c r="AC118" i="7"/>
  <c r="AD118" i="7"/>
  <c r="M118" i="7" s="1"/>
  <c r="AE118" i="7"/>
  <c r="AF106" i="7"/>
  <c r="AC106" i="7"/>
  <c r="AD106" i="7"/>
  <c r="M106" i="7" s="1"/>
  <c r="AE106" i="7"/>
  <c r="AF98" i="7"/>
  <c r="T98" i="7" s="1"/>
  <c r="AC98" i="7"/>
  <c r="AE98" i="7"/>
  <c r="AD98" i="7"/>
  <c r="M98" i="7" s="1"/>
  <c r="AF90" i="7"/>
  <c r="AC90" i="7"/>
  <c r="AE90" i="7"/>
  <c r="AD90" i="7"/>
  <c r="M90" i="7" s="1"/>
  <c r="AE78" i="7"/>
  <c r="AF78" i="7"/>
  <c r="AC78" i="7"/>
  <c r="AD78" i="7"/>
  <c r="M78" i="7" s="1"/>
  <c r="AE62" i="7"/>
  <c r="AF62" i="7"/>
  <c r="T62" i="7" s="1"/>
  <c r="AC62" i="7"/>
  <c r="AD62" i="7"/>
  <c r="M62" i="7" s="1"/>
  <c r="AE26" i="7"/>
  <c r="Q26" i="7" s="1"/>
  <c r="AF26" i="7"/>
  <c r="AC26" i="7"/>
  <c r="AD26" i="7"/>
  <c r="M26" i="7" s="1"/>
  <c r="AC131" i="7"/>
  <c r="AD131" i="7"/>
  <c r="M131" i="7" s="1"/>
  <c r="AE131" i="7"/>
  <c r="AF131" i="7"/>
  <c r="T131" i="7" s="1"/>
  <c r="AC127" i="7"/>
  <c r="AD127" i="7"/>
  <c r="M127" i="7" s="1"/>
  <c r="AE127" i="7"/>
  <c r="AF127" i="7"/>
  <c r="AF123" i="7"/>
  <c r="AC123" i="7"/>
  <c r="AD123" i="7"/>
  <c r="M123" i="7" s="1"/>
  <c r="AE123" i="7"/>
  <c r="Q123" i="7" s="1"/>
  <c r="AF119" i="7"/>
  <c r="AC119" i="7"/>
  <c r="AD119" i="7"/>
  <c r="M119" i="7" s="1"/>
  <c r="AE119" i="7"/>
  <c r="Q119" i="7" s="1"/>
  <c r="AF115" i="7"/>
  <c r="AC115" i="7"/>
  <c r="AD115" i="7"/>
  <c r="M115" i="7" s="1"/>
  <c r="AE115" i="7"/>
  <c r="AF111" i="7"/>
  <c r="AC111" i="7"/>
  <c r="AD111" i="7"/>
  <c r="AE111" i="7"/>
  <c r="AF107" i="7"/>
  <c r="AC107" i="7"/>
  <c r="AD107" i="7"/>
  <c r="M107" i="7" s="1"/>
  <c r="AE107" i="7"/>
  <c r="Q107" i="7" s="1"/>
  <c r="AF103" i="7"/>
  <c r="AC103" i="7"/>
  <c r="AD103" i="7"/>
  <c r="M103" i="7" s="1"/>
  <c r="AE103" i="7"/>
  <c r="AF99" i="7"/>
  <c r="AC99" i="7"/>
  <c r="AD99" i="7"/>
  <c r="M99" i="7" s="1"/>
  <c r="AE99" i="7"/>
  <c r="Q99" i="7" s="1"/>
  <c r="AF95" i="7"/>
  <c r="T95" i="7" s="1"/>
  <c r="AC95" i="7"/>
  <c r="AD95" i="7"/>
  <c r="M95" i="7" s="1"/>
  <c r="AE95" i="7"/>
  <c r="AF91" i="7"/>
  <c r="AC91" i="7"/>
  <c r="AD91" i="7"/>
  <c r="AE91" i="7"/>
  <c r="AF87" i="7"/>
  <c r="AC87" i="7"/>
  <c r="AD87" i="7"/>
  <c r="M87" i="7" s="1"/>
  <c r="AE87" i="7"/>
  <c r="AF83" i="7"/>
  <c r="AE83" i="7"/>
  <c r="AC83" i="7"/>
  <c r="AD83" i="7"/>
  <c r="M83" i="7" s="1"/>
  <c r="AF79" i="7"/>
  <c r="T79" i="7" s="1"/>
  <c r="AE79" i="7"/>
  <c r="AD79" i="7"/>
  <c r="M79" i="7" s="1"/>
  <c r="AC79" i="7"/>
  <c r="AE75" i="7"/>
  <c r="AF75" i="7"/>
  <c r="AD75" i="7"/>
  <c r="M75" i="7" s="1"/>
  <c r="AC75" i="7"/>
  <c r="AE71" i="7"/>
  <c r="AF71" i="7"/>
  <c r="T71" i="7" s="1"/>
  <c r="AD71" i="7"/>
  <c r="M71" i="7" s="1"/>
  <c r="AC71" i="7"/>
  <c r="AE67" i="7"/>
  <c r="Q67" i="7" s="1"/>
  <c r="AF67" i="7"/>
  <c r="AD67" i="7"/>
  <c r="M67" i="7" s="1"/>
  <c r="AC67" i="7"/>
  <c r="AE63" i="7"/>
  <c r="AF63" i="7"/>
  <c r="T63" i="7" s="1"/>
  <c r="AD63" i="7"/>
  <c r="M63" i="7" s="1"/>
  <c r="AC63" i="7"/>
  <c r="AE59" i="7"/>
  <c r="AF59" i="7"/>
  <c r="AD59" i="7"/>
  <c r="M59" i="7" s="1"/>
  <c r="AC59" i="7"/>
  <c r="AE55" i="7"/>
  <c r="Q55" i="7" s="1"/>
  <c r="AF55" i="7"/>
  <c r="AD55" i="7"/>
  <c r="M55" i="7" s="1"/>
  <c r="AC55" i="7"/>
  <c r="AE51" i="7"/>
  <c r="AF51" i="7"/>
  <c r="AD51" i="7"/>
  <c r="M51" i="7" s="1"/>
  <c r="AC51" i="7"/>
  <c r="AE47" i="7"/>
  <c r="AF47" i="7"/>
  <c r="AD47" i="7"/>
  <c r="M47" i="7" s="1"/>
  <c r="AC47" i="7"/>
  <c r="AE43" i="7"/>
  <c r="AF43" i="7"/>
  <c r="AD43" i="7"/>
  <c r="M43" i="7" s="1"/>
  <c r="AC43" i="7"/>
  <c r="AE39" i="7"/>
  <c r="Q39" i="7" s="1"/>
  <c r="AF39" i="7"/>
  <c r="AD39" i="7"/>
  <c r="M39" i="7" s="1"/>
  <c r="AC39" i="7"/>
  <c r="AE35" i="7"/>
  <c r="AF35" i="7"/>
  <c r="T35" i="7" s="1"/>
  <c r="AD35" i="7"/>
  <c r="M35" i="7" s="1"/>
  <c r="AC35" i="7"/>
  <c r="AE31" i="7"/>
  <c r="AF31" i="7"/>
  <c r="AD31" i="7"/>
  <c r="AC31" i="7"/>
  <c r="AE27" i="7"/>
  <c r="Q27" i="7" s="1"/>
  <c r="AF27" i="7"/>
  <c r="AD27" i="7"/>
  <c r="M27" i="7" s="1"/>
  <c r="AC27" i="7"/>
  <c r="AE23" i="7"/>
  <c r="AF23" i="7"/>
  <c r="T23" i="7" s="1"/>
  <c r="AD23" i="7"/>
  <c r="M23" i="7" s="1"/>
  <c r="AC23" i="7"/>
  <c r="AE19" i="7"/>
  <c r="AF19" i="7"/>
  <c r="AD19" i="7"/>
  <c r="AC19" i="7"/>
  <c r="AE15" i="7"/>
  <c r="AF15" i="7"/>
  <c r="AD15" i="7"/>
  <c r="AC15" i="7"/>
  <c r="AE11" i="7"/>
  <c r="AF11" i="7"/>
  <c r="AD11" i="7"/>
  <c r="M11" i="7" s="1"/>
  <c r="AC11" i="7"/>
  <c r="AE7" i="7"/>
  <c r="AF7" i="7"/>
  <c r="V141" i="7"/>
  <c r="AD7" i="7"/>
  <c r="AC7" i="7"/>
  <c r="AB141" i="7"/>
  <c r="O698" i="1"/>
  <c r="S699" i="1"/>
  <c r="W694" i="1"/>
  <c r="AA699" i="1"/>
  <c r="AE694" i="1"/>
  <c r="AM694" i="1"/>
  <c r="AQ698" i="1"/>
  <c r="AU696" i="1"/>
  <c r="AY698" i="1"/>
  <c r="O743" i="1"/>
  <c r="S743" i="1"/>
  <c r="W743" i="1"/>
  <c r="AA743" i="1"/>
  <c r="AE743" i="1"/>
  <c r="AI743" i="1"/>
  <c r="AM743" i="1"/>
  <c r="AQ743" i="1"/>
  <c r="AU743" i="1"/>
  <c r="AY743" i="1"/>
  <c r="V304" i="1"/>
  <c r="AL304" i="1"/>
  <c r="H636" i="1"/>
  <c r="H655" i="1"/>
  <c r="M654" i="1"/>
  <c r="Q654" i="1"/>
  <c r="U654" i="1"/>
  <c r="Y654" i="1"/>
  <c r="AC654" i="1"/>
  <c r="AG654" i="1"/>
  <c r="AK654" i="1"/>
  <c r="AO654" i="1"/>
  <c r="AS654" i="1"/>
  <c r="AW654" i="1"/>
  <c r="K671" i="1"/>
  <c r="K488" i="1" s="1"/>
  <c r="O674" i="1"/>
  <c r="S671" i="1"/>
  <c r="S488" i="1" s="1"/>
  <c r="W674" i="1"/>
  <c r="AA671" i="1"/>
  <c r="AA488" i="1" s="1"/>
  <c r="AE670" i="1"/>
  <c r="AI670" i="1"/>
  <c r="AM674" i="1"/>
  <c r="AQ671" i="1"/>
  <c r="AQ488" i="1" s="1"/>
  <c r="AU670" i="1"/>
  <c r="AY670" i="1"/>
  <c r="J685" i="1"/>
  <c r="N688" i="1"/>
  <c r="AD688" i="1"/>
  <c r="AP685" i="1"/>
  <c r="AT688" i="1"/>
  <c r="AX686" i="1"/>
  <c r="AD714" i="1"/>
  <c r="AL710" i="1"/>
  <c r="AP710" i="1"/>
  <c r="AT714" i="1"/>
  <c r="N731" i="1"/>
  <c r="R727" i="1"/>
  <c r="AD731" i="1"/>
  <c r="AH727" i="1"/>
  <c r="AT732" i="1"/>
  <c r="AX727" i="1"/>
  <c r="AD304" i="1"/>
  <c r="P402" i="1"/>
  <c r="T402" i="1"/>
  <c r="X398" i="1"/>
  <c r="X460" i="1" s="1"/>
  <c r="AF402" i="1"/>
  <c r="AJ402" i="1"/>
  <c r="AN398" i="1"/>
  <c r="AN460" i="1" s="1"/>
  <c r="AV402" i="1"/>
  <c r="AO397" i="1"/>
  <c r="AO506" i="1"/>
  <c r="N304" i="1"/>
  <c r="AT304" i="1"/>
  <c r="L452" i="1"/>
  <c r="AB452" i="1"/>
  <c r="AR452" i="1"/>
  <c r="AJ527" i="1"/>
  <c r="AR527" i="1"/>
  <c r="G539" i="1"/>
  <c r="G481" i="1" s="1"/>
  <c r="T542" i="1"/>
  <c r="AF542" i="1"/>
  <c r="AN538" i="1"/>
  <c r="K605" i="1"/>
  <c r="O605" i="1"/>
  <c r="S605" i="1"/>
  <c r="W605" i="1"/>
  <c r="AA605" i="1"/>
  <c r="AE605" i="1"/>
  <c r="AI605" i="1"/>
  <c r="AM605" i="1"/>
  <c r="AQ605" i="1"/>
  <c r="AU605" i="1"/>
  <c r="AY605" i="1"/>
  <c r="O201" i="1"/>
  <c r="AA198" i="1"/>
  <c r="AI197" i="1"/>
  <c r="AI457" i="1" s="1"/>
  <c r="AI464" i="1" s="1"/>
  <c r="AM201" i="1"/>
  <c r="AU201" i="1"/>
  <c r="L201" i="1"/>
  <c r="T201" i="1"/>
  <c r="AB201" i="1"/>
  <c r="AJ201" i="1"/>
  <c r="AR201" i="1"/>
  <c r="Q199" i="1"/>
  <c r="AG199" i="1"/>
  <c r="AW199" i="1"/>
  <c r="R199" i="1"/>
  <c r="AH199" i="1"/>
  <c r="AL198" i="1"/>
  <c r="AX199" i="1"/>
  <c r="K229" i="1"/>
  <c r="O225" i="1"/>
  <c r="S229" i="1"/>
  <c r="W225" i="1"/>
  <c r="AA229" i="1"/>
  <c r="AE225" i="1"/>
  <c r="AI229" i="1"/>
  <c r="AM225" i="1"/>
  <c r="AQ229" i="1"/>
  <c r="AU225" i="1"/>
  <c r="AY229" i="1"/>
  <c r="G225" i="1"/>
  <c r="P228" i="1"/>
  <c r="X228" i="1"/>
  <c r="AF228" i="1"/>
  <c r="AN228" i="1"/>
  <c r="AV228" i="1"/>
  <c r="H228" i="1"/>
  <c r="M227" i="1"/>
  <c r="Q230" i="1"/>
  <c r="U226" i="1"/>
  <c r="U458" i="1" s="1"/>
  <c r="U465" i="1" s="1"/>
  <c r="Y230" i="1"/>
  <c r="AC227" i="1"/>
  <c r="AG230" i="1"/>
  <c r="AK226" i="1"/>
  <c r="AK458" i="1" s="1"/>
  <c r="AK465" i="1" s="1"/>
  <c r="AO230" i="1"/>
  <c r="AS227" i="1"/>
  <c r="AW230" i="1"/>
  <c r="H743" i="1"/>
  <c r="M741" i="1"/>
  <c r="Q741" i="1"/>
  <c r="U741" i="1"/>
  <c r="Y741" i="1"/>
  <c r="AC741" i="1"/>
  <c r="AG741" i="1"/>
  <c r="AK741" i="1"/>
  <c r="AO741" i="1"/>
  <c r="AS741" i="1"/>
  <c r="AW741" i="1"/>
  <c r="AS226" i="1"/>
  <c r="AS458" i="1" s="1"/>
  <c r="AS465" i="1" s="1"/>
  <c r="M226" i="1"/>
  <c r="M458" i="1" s="1"/>
  <c r="M465" i="1" s="1"/>
  <c r="G303" i="1"/>
  <c r="G459" i="1" s="1"/>
  <c r="K304" i="1"/>
  <c r="O307" i="1"/>
  <c r="W303" i="1"/>
  <c r="W459" i="1" s="1"/>
  <c r="W466" i="1" s="1"/>
  <c r="AE304" i="1"/>
  <c r="AI307" i="1"/>
  <c r="AM303" i="1"/>
  <c r="AM459" i="1" s="1"/>
  <c r="AM466" i="1" s="1"/>
  <c r="AQ304" i="1"/>
  <c r="AU303" i="1"/>
  <c r="AU459" i="1" s="1"/>
  <c r="AU466" i="1" s="1"/>
  <c r="L306" i="1"/>
  <c r="P307" i="1"/>
  <c r="T302" i="1"/>
  <c r="X303" i="1"/>
  <c r="X459" i="1" s="1"/>
  <c r="X466" i="1" s="1"/>
  <c r="AB306" i="1"/>
  <c r="AF303" i="1"/>
  <c r="AF459" i="1" s="1"/>
  <c r="AF466" i="1" s="1"/>
  <c r="AJ302" i="1"/>
  <c r="AN303" i="1"/>
  <c r="AN459" i="1" s="1"/>
  <c r="AN466" i="1" s="1"/>
  <c r="AR306" i="1"/>
  <c r="AV303" i="1"/>
  <c r="AV459" i="1" s="1"/>
  <c r="AV466" i="1" s="1"/>
  <c r="H303" i="1"/>
  <c r="H459" i="1" s="1"/>
  <c r="K453" i="1"/>
  <c r="O453" i="1"/>
  <c r="S449" i="1"/>
  <c r="AA453" i="1"/>
  <c r="AE453" i="1"/>
  <c r="AI449" i="1"/>
  <c r="AQ453" i="1"/>
  <c r="AU453" i="1"/>
  <c r="AY449" i="1"/>
  <c r="O504" i="1"/>
  <c r="AI508" i="1"/>
  <c r="AM504" i="1"/>
  <c r="AY508" i="1"/>
  <c r="M526" i="1"/>
  <c r="Q526" i="1"/>
  <c r="U526" i="1"/>
  <c r="Y526" i="1"/>
  <c r="AC526" i="1"/>
  <c r="AG526" i="1"/>
  <c r="AK526" i="1"/>
  <c r="AO526" i="1"/>
  <c r="AS526" i="1"/>
  <c r="AW526" i="1"/>
  <c r="H543" i="1"/>
  <c r="M538" i="1"/>
  <c r="Q542" i="1"/>
  <c r="U538" i="1"/>
  <c r="Y542" i="1"/>
  <c r="AC538" i="1"/>
  <c r="AG542" i="1"/>
  <c r="AK543" i="1"/>
  <c r="AO542" i="1"/>
  <c r="AS538" i="1"/>
  <c r="W575" i="1"/>
  <c r="AA571" i="1"/>
  <c r="J529" i="1"/>
  <c r="AD525" i="1"/>
  <c r="AD480" i="1" s="1"/>
  <c r="V174" i="1"/>
  <c r="AT178" i="1"/>
  <c r="M230" i="1"/>
  <c r="Q226" i="1"/>
  <c r="Q458" i="1" s="1"/>
  <c r="Q465" i="1" s="1"/>
  <c r="U230" i="1"/>
  <c r="Y226" i="1"/>
  <c r="Y458" i="1" s="1"/>
  <c r="Y465" i="1" s="1"/>
  <c r="AC230" i="1"/>
  <c r="AG226" i="1"/>
  <c r="AG458" i="1" s="1"/>
  <c r="AG465" i="1" s="1"/>
  <c r="AK230" i="1"/>
  <c r="AO226" i="1"/>
  <c r="AO458" i="1" s="1"/>
  <c r="AO465" i="1" s="1"/>
  <c r="AS230" i="1"/>
  <c r="AW226" i="1"/>
  <c r="AW458" i="1" s="1"/>
  <c r="AW465" i="1" s="1"/>
  <c r="M452" i="1"/>
  <c r="Q452" i="1"/>
  <c r="U452" i="1"/>
  <c r="Y452" i="1"/>
  <c r="AC452" i="1"/>
  <c r="AG452" i="1"/>
  <c r="AK452" i="1"/>
  <c r="AO452" i="1"/>
  <c r="AS452" i="1"/>
  <c r="AW452" i="1"/>
  <c r="G590" i="1"/>
  <c r="L592" i="1"/>
  <c r="P592" i="1"/>
  <c r="T592" i="1"/>
  <c r="X592" i="1"/>
  <c r="AB592" i="1"/>
  <c r="AF592" i="1"/>
  <c r="AJ592" i="1"/>
  <c r="AN592" i="1"/>
  <c r="AR592" i="1"/>
  <c r="AV592" i="1"/>
  <c r="G605" i="1"/>
  <c r="T606" i="1"/>
  <c r="AF602" i="1"/>
  <c r="J637" i="1"/>
  <c r="N637" i="1"/>
  <c r="R637" i="1"/>
  <c r="V637" i="1"/>
  <c r="Z637" i="1"/>
  <c r="AD637" i="1"/>
  <c r="AH637" i="1"/>
  <c r="AL637" i="1"/>
  <c r="AP637" i="1"/>
  <c r="AT637" i="1"/>
  <c r="AX637" i="1"/>
  <c r="P673" i="1"/>
  <c r="AV673" i="1"/>
  <c r="AA730" i="1"/>
  <c r="AI730" i="1"/>
  <c r="G743" i="1"/>
  <c r="T743" i="1"/>
  <c r="J541" i="1"/>
  <c r="N541" i="1"/>
  <c r="R541" i="1"/>
  <c r="V541" i="1"/>
  <c r="Z541" i="1"/>
  <c r="AD541" i="1"/>
  <c r="AH541" i="1"/>
  <c r="AL541" i="1"/>
  <c r="AP541" i="1"/>
  <c r="AT541" i="1"/>
  <c r="AX541" i="1"/>
  <c r="K543" i="1"/>
  <c r="S540" i="1"/>
  <c r="W540" i="1"/>
  <c r="AA543" i="1"/>
  <c r="AI540" i="1"/>
  <c r="AM540" i="1"/>
  <c r="AQ539" i="1"/>
  <c r="AQ481" i="1" s="1"/>
  <c r="AY540" i="1"/>
  <c r="G540" i="1"/>
  <c r="L539" i="1"/>
  <c r="L481" i="1" s="1"/>
  <c r="P538" i="1"/>
  <c r="T539" i="1"/>
  <c r="T481" i="1" s="1"/>
  <c r="X538" i="1"/>
  <c r="AB542" i="1"/>
  <c r="AJ539" i="1"/>
  <c r="AJ481" i="1" s="1"/>
  <c r="AN542" i="1"/>
  <c r="AR539" i="1"/>
  <c r="AR481" i="1" s="1"/>
  <c r="AV538" i="1"/>
  <c r="G576" i="1"/>
  <c r="H592" i="1"/>
  <c r="M591" i="1"/>
  <c r="Q591" i="1"/>
  <c r="U591" i="1"/>
  <c r="Y591" i="1"/>
  <c r="AC591" i="1"/>
  <c r="AG591" i="1"/>
  <c r="AK591" i="1"/>
  <c r="AO591" i="1"/>
  <c r="AS591" i="1"/>
  <c r="AW591" i="1"/>
  <c r="Y605" i="1"/>
  <c r="AO605" i="1"/>
  <c r="K621" i="1"/>
  <c r="AI621" i="1"/>
  <c r="AQ621" i="1"/>
  <c r="K636" i="1"/>
  <c r="O636" i="1"/>
  <c r="S636" i="1"/>
  <c r="W636" i="1"/>
  <c r="AA636" i="1"/>
  <c r="AE636" i="1"/>
  <c r="AI636" i="1"/>
  <c r="AM636" i="1"/>
  <c r="AQ636" i="1"/>
  <c r="AU636" i="1"/>
  <c r="AY637" i="1"/>
  <c r="L685" i="1"/>
  <c r="P685" i="1"/>
  <c r="T685" i="1"/>
  <c r="X685" i="1"/>
  <c r="AB685" i="1"/>
  <c r="AF685" i="1"/>
  <c r="AJ685" i="1"/>
  <c r="AN685" i="1"/>
  <c r="AR685" i="1"/>
  <c r="AV685" i="1"/>
  <c r="M699" i="1"/>
  <c r="Q699" i="1"/>
  <c r="U697" i="1"/>
  <c r="Y696" i="1"/>
  <c r="AC694" i="1"/>
  <c r="AG697" i="1"/>
  <c r="AK698" i="1"/>
  <c r="AO694" i="1"/>
  <c r="AS697" i="1"/>
  <c r="AW694" i="1"/>
  <c r="L729" i="1"/>
  <c r="P729" i="1"/>
  <c r="T729" i="1"/>
  <c r="AB729" i="1"/>
  <c r="AJ729" i="1"/>
  <c r="AN729" i="1"/>
  <c r="AR729" i="1"/>
  <c r="AV729" i="1"/>
  <c r="M506" i="1"/>
  <c r="Q506" i="1"/>
  <c r="U506" i="1"/>
  <c r="AO507" i="1"/>
  <c r="AQ508" i="1"/>
  <c r="AU504" i="1"/>
  <c r="AY504" i="1"/>
  <c r="J603" i="1"/>
  <c r="J484" i="1" s="1"/>
  <c r="N607" i="1"/>
  <c r="R604" i="1"/>
  <c r="V607" i="1"/>
  <c r="Z603" i="1"/>
  <c r="Z484" i="1" s="1"/>
  <c r="AD607" i="1"/>
  <c r="AH603" i="1"/>
  <c r="AH484" i="1" s="1"/>
  <c r="AL607" i="1"/>
  <c r="AP603" i="1"/>
  <c r="AP484" i="1" s="1"/>
  <c r="AT607" i="1"/>
  <c r="AX603" i="1"/>
  <c r="AX484" i="1" s="1"/>
  <c r="T637" i="1"/>
  <c r="AB637" i="1"/>
  <c r="AN636" i="1"/>
  <c r="L653" i="1"/>
  <c r="AB653" i="1"/>
  <c r="AR653" i="1"/>
  <c r="J671" i="1"/>
  <c r="J488" i="1" s="1"/>
  <c r="N674" i="1"/>
  <c r="R672" i="1"/>
  <c r="V674" i="1"/>
  <c r="Z671" i="1"/>
  <c r="Z488" i="1" s="1"/>
  <c r="AD675" i="1"/>
  <c r="AH671" i="1"/>
  <c r="AH488" i="1" s="1"/>
  <c r="AL674" i="1"/>
  <c r="AP671" i="1"/>
  <c r="AP488" i="1" s="1"/>
  <c r="AT674" i="1"/>
  <c r="AX671" i="1"/>
  <c r="AX488" i="1" s="1"/>
  <c r="M687" i="1"/>
  <c r="Q687" i="1"/>
  <c r="U686" i="1"/>
  <c r="Y683" i="1"/>
  <c r="AC687" i="1"/>
  <c r="AG687" i="1"/>
  <c r="AK686" i="1"/>
  <c r="AO683" i="1"/>
  <c r="AS687" i="1"/>
  <c r="AW687" i="1"/>
  <c r="M714" i="1"/>
  <c r="Q714" i="1"/>
  <c r="U714" i="1"/>
  <c r="Y714" i="1"/>
  <c r="AC714" i="1"/>
  <c r="AG714" i="1"/>
  <c r="AK714" i="1"/>
  <c r="AO714" i="1"/>
  <c r="AS714" i="1"/>
  <c r="AW714" i="1"/>
  <c r="H729" i="1"/>
  <c r="M728" i="1"/>
  <c r="M492" i="1" s="1"/>
  <c r="U728" i="1"/>
  <c r="U492" i="1" s="1"/>
  <c r="AC728" i="1"/>
  <c r="AC492" i="1" s="1"/>
  <c r="AK728" i="1"/>
  <c r="AK492" i="1" s="1"/>
  <c r="AS728" i="1"/>
  <c r="AS492" i="1" s="1"/>
  <c r="N741" i="1"/>
  <c r="R739" i="1"/>
  <c r="R493" i="1" s="1"/>
  <c r="V743" i="1"/>
  <c r="AD741" i="1"/>
  <c r="AH739" i="1"/>
  <c r="AH493" i="1" s="1"/>
  <c r="AL743" i="1"/>
  <c r="AT741" i="1"/>
  <c r="AX739" i="1"/>
  <c r="AX493" i="1" s="1"/>
  <c r="J176" i="1"/>
  <c r="J178" i="1"/>
  <c r="J179" i="1"/>
  <c r="J174" i="1"/>
  <c r="Z176" i="1"/>
  <c r="Z178" i="1"/>
  <c r="Z179" i="1"/>
  <c r="Z174" i="1"/>
  <c r="AP176" i="1"/>
  <c r="AP178" i="1"/>
  <c r="AP179" i="1"/>
  <c r="AP174" i="1"/>
  <c r="J175" i="1"/>
  <c r="J456" i="1" s="1"/>
  <c r="J463" i="1" s="1"/>
  <c r="G199" i="1"/>
  <c r="G197" i="1"/>
  <c r="G457" i="1" s="1"/>
  <c r="G198" i="1"/>
  <c r="S199" i="1"/>
  <c r="S201" i="1"/>
  <c r="S198" i="1"/>
  <c r="AE199" i="1"/>
  <c r="AE198" i="1"/>
  <c r="AE197" i="1"/>
  <c r="AE457" i="1" s="1"/>
  <c r="AE464" i="1" s="1"/>
  <c r="AQ199" i="1"/>
  <c r="AQ201" i="1"/>
  <c r="AQ198" i="1"/>
  <c r="AY199" i="1"/>
  <c r="AY201" i="1"/>
  <c r="AY198" i="1"/>
  <c r="AV200" i="1"/>
  <c r="AV197" i="1"/>
  <c r="AV457" i="1" s="1"/>
  <c r="AV464" i="1" s="1"/>
  <c r="AA197" i="1"/>
  <c r="AA457" i="1" s="1"/>
  <c r="AA464" i="1" s="1"/>
  <c r="AE201" i="1"/>
  <c r="J227" i="1"/>
  <c r="J226" i="1"/>
  <c r="J458" i="1" s="1"/>
  <c r="J465" i="1" s="1"/>
  <c r="J229" i="1"/>
  <c r="J230" i="1"/>
  <c r="R227" i="1"/>
  <c r="R226" i="1"/>
  <c r="R458" i="1" s="1"/>
  <c r="R465" i="1" s="1"/>
  <c r="R225" i="1"/>
  <c r="R230" i="1"/>
  <c r="Z227" i="1"/>
  <c r="Z226" i="1"/>
  <c r="Z458" i="1" s="1"/>
  <c r="Z465" i="1" s="1"/>
  <c r="Z229" i="1"/>
  <c r="Z230" i="1"/>
  <c r="AD227" i="1"/>
  <c r="AD230" i="1"/>
  <c r="AD229" i="1"/>
  <c r="AD226" i="1"/>
  <c r="AD458" i="1" s="1"/>
  <c r="AD465" i="1" s="1"/>
  <c r="AD225" i="1"/>
  <c r="AL227" i="1"/>
  <c r="AL230" i="1"/>
  <c r="AL225" i="1"/>
  <c r="AL229" i="1"/>
  <c r="AL226" i="1"/>
  <c r="AL458" i="1" s="1"/>
  <c r="AL465" i="1" s="1"/>
  <c r="AT227" i="1"/>
  <c r="AT230" i="1"/>
  <c r="AT229" i="1"/>
  <c r="AT226" i="1"/>
  <c r="AT458" i="1" s="1"/>
  <c r="AT465" i="1" s="1"/>
  <c r="AT225" i="1"/>
  <c r="AX227" i="1"/>
  <c r="AX226" i="1"/>
  <c r="AX458" i="1" s="1"/>
  <c r="AX465" i="1" s="1"/>
  <c r="AX225" i="1"/>
  <c r="AX229" i="1"/>
  <c r="AX230" i="1"/>
  <c r="J225" i="1"/>
  <c r="L176" i="1"/>
  <c r="AR176" i="1"/>
  <c r="Z175" i="1"/>
  <c r="Z456" i="1" s="1"/>
  <c r="Z463" i="1" s="1"/>
  <c r="T197" i="1"/>
  <c r="T457" i="1" s="1"/>
  <c r="T464" i="1" s="1"/>
  <c r="AJ197" i="1"/>
  <c r="AJ457" i="1" s="1"/>
  <c r="AJ464" i="1" s="1"/>
  <c r="AV201" i="1"/>
  <c r="Y199" i="1"/>
  <c r="AO199" i="1"/>
  <c r="AR196" i="1"/>
  <c r="G201" i="1"/>
  <c r="Z225" i="1"/>
  <c r="AC226" i="1"/>
  <c r="AC458" i="1" s="1"/>
  <c r="AC465" i="1" s="1"/>
  <c r="R176" i="1"/>
  <c r="R174" i="1"/>
  <c r="R175" i="1"/>
  <c r="R456" i="1" s="1"/>
  <c r="R463" i="1" s="1"/>
  <c r="R178" i="1"/>
  <c r="AD176" i="1"/>
  <c r="AD179" i="1"/>
  <c r="AD174" i="1"/>
  <c r="AD175" i="1"/>
  <c r="AD456" i="1" s="1"/>
  <c r="AD463" i="1" s="1"/>
  <c r="AL176" i="1"/>
  <c r="AL175" i="1"/>
  <c r="AL456" i="1" s="1"/>
  <c r="AL463" i="1" s="1"/>
  <c r="AL178" i="1"/>
  <c r="AL179" i="1"/>
  <c r="AX176" i="1"/>
  <c r="AX174" i="1"/>
  <c r="AX175" i="1"/>
  <c r="AX456" i="1" s="1"/>
  <c r="AX463" i="1" s="1"/>
  <c r="AX178" i="1"/>
  <c r="AD178" i="1"/>
  <c r="K199" i="1"/>
  <c r="K201" i="1"/>
  <c r="K198" i="1"/>
  <c r="W199" i="1"/>
  <c r="W198" i="1"/>
  <c r="W197" i="1"/>
  <c r="W457" i="1" s="1"/>
  <c r="W464" i="1" s="1"/>
  <c r="AM199" i="1"/>
  <c r="AM197" i="1"/>
  <c r="AM457" i="1" s="1"/>
  <c r="AM464" i="1" s="1"/>
  <c r="AM198" i="1"/>
  <c r="P200" i="1"/>
  <c r="P197" i="1"/>
  <c r="P457" i="1" s="1"/>
  <c r="P464" i="1" s="1"/>
  <c r="X197" i="1"/>
  <c r="X457" i="1" s="1"/>
  <c r="X464" i="1" s="1"/>
  <c r="X196" i="1"/>
  <c r="AF200" i="1"/>
  <c r="AF197" i="1"/>
  <c r="AF457" i="1" s="1"/>
  <c r="AF464" i="1" s="1"/>
  <c r="AN197" i="1"/>
  <c r="AN457" i="1" s="1"/>
  <c r="AN464" i="1" s="1"/>
  <c r="AN196" i="1"/>
  <c r="AB196" i="1"/>
  <c r="O198" i="1"/>
  <c r="AJ200" i="1"/>
  <c r="N227" i="1"/>
  <c r="N230" i="1"/>
  <c r="N229" i="1"/>
  <c r="N226" i="1"/>
  <c r="N458" i="1" s="1"/>
  <c r="N465" i="1" s="1"/>
  <c r="N225" i="1"/>
  <c r="V227" i="1"/>
  <c r="V230" i="1"/>
  <c r="V225" i="1"/>
  <c r="V229" i="1"/>
  <c r="V226" i="1"/>
  <c r="V458" i="1" s="1"/>
  <c r="V465" i="1" s="1"/>
  <c r="AH227" i="1"/>
  <c r="AH226" i="1"/>
  <c r="AH458" i="1" s="1"/>
  <c r="AH465" i="1" s="1"/>
  <c r="AH225" i="1"/>
  <c r="AH230" i="1"/>
  <c r="AH229" i="1"/>
  <c r="AP227" i="1"/>
  <c r="AP226" i="1"/>
  <c r="AP458" i="1" s="1"/>
  <c r="AP465" i="1" s="1"/>
  <c r="AP229" i="1"/>
  <c r="AP230" i="1"/>
  <c r="O177" i="1"/>
  <c r="W177" i="1"/>
  <c r="AE177" i="1"/>
  <c r="AM177" i="1"/>
  <c r="AU177" i="1"/>
  <c r="G177" i="1"/>
  <c r="T176" i="1"/>
  <c r="AB176" i="1"/>
  <c r="AJ176" i="1"/>
  <c r="AP175" i="1"/>
  <c r="AP456" i="1" s="1"/>
  <c r="AP463" i="1" s="1"/>
  <c r="R179" i="1"/>
  <c r="K197" i="1"/>
  <c r="K457" i="1" s="1"/>
  <c r="K464" i="1" s="1"/>
  <c r="AQ197" i="1"/>
  <c r="AQ457" i="1" s="1"/>
  <c r="AQ464" i="1" s="1"/>
  <c r="AP225" i="1"/>
  <c r="N176" i="1"/>
  <c r="N179" i="1"/>
  <c r="N174" i="1"/>
  <c r="N175" i="1"/>
  <c r="N456" i="1" s="1"/>
  <c r="N463" i="1" s="1"/>
  <c r="V176" i="1"/>
  <c r="V175" i="1"/>
  <c r="V456" i="1" s="1"/>
  <c r="V463" i="1" s="1"/>
  <c r="V178" i="1"/>
  <c r="V179" i="1"/>
  <c r="AH176" i="1"/>
  <c r="AH174" i="1"/>
  <c r="AH175" i="1"/>
  <c r="AH456" i="1" s="1"/>
  <c r="AH463" i="1" s="1"/>
  <c r="AH178" i="1"/>
  <c r="AT176" i="1"/>
  <c r="AT179" i="1"/>
  <c r="AT174" i="1"/>
  <c r="AT175" i="1"/>
  <c r="AT456" i="1" s="1"/>
  <c r="AT463" i="1" s="1"/>
  <c r="AX179" i="1"/>
  <c r="O199" i="1"/>
  <c r="O197" i="1"/>
  <c r="O457" i="1" s="1"/>
  <c r="O464" i="1" s="1"/>
  <c r="AA199" i="1"/>
  <c r="AA201" i="1"/>
  <c r="AI199" i="1"/>
  <c r="AI198" i="1"/>
  <c r="AI201" i="1"/>
  <c r="AU199" i="1"/>
  <c r="AU197" i="1"/>
  <c r="AU457" i="1" s="1"/>
  <c r="AU464" i="1" s="1"/>
  <c r="H197" i="1"/>
  <c r="H457" i="1" s="1"/>
  <c r="H196" i="1"/>
  <c r="AL174" i="1"/>
  <c r="N178" i="1"/>
  <c r="AH179" i="1"/>
  <c r="J199" i="1"/>
  <c r="N198" i="1"/>
  <c r="V198" i="1"/>
  <c r="Z199" i="1"/>
  <c r="AD198" i="1"/>
  <c r="AP199" i="1"/>
  <c r="AT198" i="1"/>
  <c r="L196" i="1"/>
  <c r="S197" i="1"/>
  <c r="S457" i="1" s="1"/>
  <c r="S464" i="1" s="1"/>
  <c r="AY197" i="1"/>
  <c r="AY457" i="1" s="1"/>
  <c r="AY464" i="1" s="1"/>
  <c r="AU198" i="1"/>
  <c r="T200" i="1"/>
  <c r="W201" i="1"/>
  <c r="R229" i="1"/>
  <c r="O303" i="1"/>
  <c r="O459" i="1" s="1"/>
  <c r="O466" i="1" s="1"/>
  <c r="AE303" i="1"/>
  <c r="AE459" i="1" s="1"/>
  <c r="AE466" i="1" s="1"/>
  <c r="H306" i="1"/>
  <c r="X306" i="1"/>
  <c r="X307" i="1"/>
  <c r="AV307" i="1"/>
  <c r="G449" i="1"/>
  <c r="H198" i="1"/>
  <c r="P198" i="1"/>
  <c r="X198" i="1"/>
  <c r="AF198" i="1"/>
  <c r="AR198" i="1"/>
  <c r="AF196" i="1"/>
  <c r="X200" i="1"/>
  <c r="P201" i="1"/>
  <c r="AF201" i="1"/>
  <c r="P227" i="1"/>
  <c r="X227" i="1"/>
  <c r="AF227" i="1"/>
  <c r="AG227" i="1"/>
  <c r="O305" i="1"/>
  <c r="W305" i="1"/>
  <c r="AE305" i="1"/>
  <c r="AM305" i="1"/>
  <c r="AY305" i="1"/>
  <c r="AN302" i="1"/>
  <c r="P303" i="1"/>
  <c r="P459" i="1" s="1"/>
  <c r="P466" i="1" s="1"/>
  <c r="W304" i="1"/>
  <c r="AM307" i="1"/>
  <c r="H176" i="1"/>
  <c r="P176" i="1"/>
  <c r="X176" i="1"/>
  <c r="AF176" i="1"/>
  <c r="AN176" i="1"/>
  <c r="AV176" i="1"/>
  <c r="K178" i="1"/>
  <c r="O174" i="1"/>
  <c r="S178" i="1"/>
  <c r="W174" i="1"/>
  <c r="AA178" i="1"/>
  <c r="AE174" i="1"/>
  <c r="AI178" i="1"/>
  <c r="AM174" i="1"/>
  <c r="AQ178" i="1"/>
  <c r="AU174" i="1"/>
  <c r="AY178" i="1"/>
  <c r="G174" i="1"/>
  <c r="P177" i="1"/>
  <c r="X177" i="1"/>
  <c r="AF177" i="1"/>
  <c r="AN177" i="1"/>
  <c r="AV177" i="1"/>
  <c r="H177" i="1"/>
  <c r="L198" i="1"/>
  <c r="T198" i="1"/>
  <c r="AB198" i="1"/>
  <c r="AJ198" i="1"/>
  <c r="AN198" i="1"/>
  <c r="AV198" i="1"/>
  <c r="P196" i="1"/>
  <c r="AV196" i="1"/>
  <c r="L197" i="1"/>
  <c r="L457" i="1" s="1"/>
  <c r="L464" i="1" s="1"/>
  <c r="AB197" i="1"/>
  <c r="AB457" i="1" s="1"/>
  <c r="AB464" i="1" s="1"/>
  <c r="AR197" i="1"/>
  <c r="AR457" i="1" s="1"/>
  <c r="AR464" i="1" s="1"/>
  <c r="H200" i="1"/>
  <c r="AN200" i="1"/>
  <c r="H201" i="1"/>
  <c r="X201" i="1"/>
  <c r="AN201" i="1"/>
  <c r="AN227" i="1"/>
  <c r="AV227" i="1"/>
  <c r="H227" i="1"/>
  <c r="Q227" i="1"/>
  <c r="AW227" i="1"/>
  <c r="G305" i="1"/>
  <c r="K305" i="1"/>
  <c r="S305" i="1"/>
  <c r="AA305" i="1"/>
  <c r="AI305" i="1"/>
  <c r="AQ305" i="1"/>
  <c r="AU305" i="1"/>
  <c r="AU307" i="1"/>
  <c r="H302" i="1"/>
  <c r="X302" i="1"/>
  <c r="AI304" i="1"/>
  <c r="G307" i="1"/>
  <c r="AA307" i="1"/>
  <c r="AY307" i="1"/>
  <c r="U175" i="1"/>
  <c r="U456" i="1" s="1"/>
  <c r="U463" i="1" s="1"/>
  <c r="Y175" i="1"/>
  <c r="Y456" i="1" s="1"/>
  <c r="Y463" i="1" s="1"/>
  <c r="AG179" i="1"/>
  <c r="AK175" i="1"/>
  <c r="AK456" i="1" s="1"/>
  <c r="AK463" i="1" s="1"/>
  <c r="AW179" i="1"/>
  <c r="T196" i="1"/>
  <c r="AJ196" i="1"/>
  <c r="L200" i="1"/>
  <c r="AB200" i="1"/>
  <c r="AR200" i="1"/>
  <c r="U227" i="1"/>
  <c r="AK227" i="1"/>
  <c r="H304" i="1"/>
  <c r="L304" i="1"/>
  <c r="L307" i="1"/>
  <c r="P304" i="1"/>
  <c r="T304" i="1"/>
  <c r="T307" i="1"/>
  <c r="X304" i="1"/>
  <c r="AB304" i="1"/>
  <c r="AB307" i="1"/>
  <c r="AF304" i="1"/>
  <c r="AF306" i="1"/>
  <c r="AJ304" i="1"/>
  <c r="AJ307" i="1"/>
  <c r="AN304" i="1"/>
  <c r="AR304" i="1"/>
  <c r="AR307" i="1"/>
  <c r="AV304" i="1"/>
  <c r="AV306" i="1"/>
  <c r="L302" i="1"/>
  <c r="AB302" i="1"/>
  <c r="AR302" i="1"/>
  <c r="K303" i="1"/>
  <c r="K459" i="1" s="1"/>
  <c r="K466" i="1" s="1"/>
  <c r="S303" i="1"/>
  <c r="S459" i="1" s="1"/>
  <c r="S466" i="1" s="1"/>
  <c r="AA303" i="1"/>
  <c r="AA459" i="1" s="1"/>
  <c r="AA466" i="1" s="1"/>
  <c r="AI303" i="1"/>
  <c r="AI459" i="1" s="1"/>
  <c r="AI466" i="1" s="1"/>
  <c r="AQ303" i="1"/>
  <c r="AQ459" i="1" s="1"/>
  <c r="AQ466" i="1" s="1"/>
  <c r="AY303" i="1"/>
  <c r="AY459" i="1" s="1"/>
  <c r="AY466" i="1" s="1"/>
  <c r="O304" i="1"/>
  <c r="AA304" i="1"/>
  <c r="AU304" i="1"/>
  <c r="P306" i="1"/>
  <c r="AJ306" i="1"/>
  <c r="H307" i="1"/>
  <c r="S307" i="1"/>
  <c r="AE307" i="1"/>
  <c r="AN307" i="1"/>
  <c r="Y397" i="1"/>
  <c r="J451" i="1"/>
  <c r="J454" i="1"/>
  <c r="J450" i="1"/>
  <c r="J461" i="1" s="1"/>
  <c r="N451" i="1"/>
  <c r="N450" i="1"/>
  <c r="N461" i="1" s="1"/>
  <c r="N454" i="1"/>
  <c r="R451" i="1"/>
  <c r="R454" i="1"/>
  <c r="R450" i="1"/>
  <c r="R461" i="1" s="1"/>
  <c r="V451" i="1"/>
  <c r="V454" i="1"/>
  <c r="V450" i="1"/>
  <c r="V461" i="1" s="1"/>
  <c r="Z451" i="1"/>
  <c r="Z454" i="1"/>
  <c r="Z450" i="1"/>
  <c r="Z461" i="1" s="1"/>
  <c r="AD451" i="1"/>
  <c r="AD450" i="1"/>
  <c r="AD461" i="1" s="1"/>
  <c r="AD454" i="1"/>
  <c r="AH451" i="1"/>
  <c r="AH454" i="1"/>
  <c r="AH450" i="1"/>
  <c r="AH461" i="1" s="1"/>
  <c r="AL451" i="1"/>
  <c r="AL454" i="1"/>
  <c r="AL450" i="1"/>
  <c r="AL461" i="1" s="1"/>
  <c r="AP451" i="1"/>
  <c r="AP454" i="1"/>
  <c r="AP450" i="1"/>
  <c r="AP461" i="1" s="1"/>
  <c r="AT451" i="1"/>
  <c r="AT450" i="1"/>
  <c r="AT461" i="1" s="1"/>
  <c r="AT454" i="1"/>
  <c r="AX451" i="1"/>
  <c r="AX454" i="1"/>
  <c r="AX450" i="1"/>
  <c r="AX461" i="1" s="1"/>
  <c r="M228" i="1"/>
  <c r="Q228" i="1"/>
  <c r="U228" i="1"/>
  <c r="Y228" i="1"/>
  <c r="AC228" i="1"/>
  <c r="AG228" i="1"/>
  <c r="AK228" i="1"/>
  <c r="AO228" i="1"/>
  <c r="AS228" i="1"/>
  <c r="AW228" i="1"/>
  <c r="Y227" i="1"/>
  <c r="AO227" i="1"/>
  <c r="AC305" i="1"/>
  <c r="AO305" i="1"/>
  <c r="AW305" i="1"/>
  <c r="P302" i="1"/>
  <c r="AF302" i="1"/>
  <c r="AV302" i="1"/>
  <c r="L303" i="1"/>
  <c r="L459" i="1" s="1"/>
  <c r="L466" i="1" s="1"/>
  <c r="T303" i="1"/>
  <c r="T459" i="1" s="1"/>
  <c r="T466" i="1" s="1"/>
  <c r="AB303" i="1"/>
  <c r="AB459" i="1" s="1"/>
  <c r="AB466" i="1" s="1"/>
  <c r="AJ303" i="1"/>
  <c r="AJ459" i="1" s="1"/>
  <c r="AJ466" i="1" s="1"/>
  <c r="AR303" i="1"/>
  <c r="AR459" i="1" s="1"/>
  <c r="AR466" i="1" s="1"/>
  <c r="G304" i="1"/>
  <c r="S304" i="1"/>
  <c r="AM304" i="1"/>
  <c r="AY304" i="1"/>
  <c r="T306" i="1"/>
  <c r="AN306" i="1"/>
  <c r="K307" i="1"/>
  <c r="W307" i="1"/>
  <c r="AF307" i="1"/>
  <c r="AQ307" i="1"/>
  <c r="R400" i="1"/>
  <c r="AH400" i="1"/>
  <c r="AX400" i="1"/>
  <c r="O449" i="1"/>
  <c r="AE449" i="1"/>
  <c r="AU449" i="1"/>
  <c r="Y451" i="1"/>
  <c r="AO451" i="1"/>
  <c r="V509" i="1"/>
  <c r="Z505" i="1"/>
  <c r="Z479" i="1" s="1"/>
  <c r="AP505" i="1"/>
  <c r="AP479" i="1" s="1"/>
  <c r="M451" i="1"/>
  <c r="AC451" i="1"/>
  <c r="AS451" i="1"/>
  <c r="K509" i="1"/>
  <c r="K504" i="1"/>
  <c r="O509" i="1"/>
  <c r="O508" i="1"/>
  <c r="S509" i="1"/>
  <c r="S508" i="1"/>
  <c r="W509" i="1"/>
  <c r="W508" i="1"/>
  <c r="W504" i="1"/>
  <c r="AA509" i="1"/>
  <c r="AA504" i="1"/>
  <c r="AE509" i="1"/>
  <c r="AE508" i="1"/>
  <c r="S504" i="1"/>
  <c r="H398" i="1"/>
  <c r="H460" i="1" s="1"/>
  <c r="M401" i="1"/>
  <c r="Q401" i="1"/>
  <c r="U397" i="1"/>
  <c r="AC401" i="1"/>
  <c r="AG401" i="1"/>
  <c r="AK397" i="1"/>
  <c r="AS401" i="1"/>
  <c r="AW401" i="1"/>
  <c r="U401" i="1"/>
  <c r="K454" i="1"/>
  <c r="O454" i="1"/>
  <c r="S454" i="1"/>
  <c r="W454" i="1"/>
  <c r="AA454" i="1"/>
  <c r="AE454" i="1"/>
  <c r="AI454" i="1"/>
  <c r="AM454" i="1"/>
  <c r="AQ454" i="1"/>
  <c r="AU454" i="1"/>
  <c r="AY454" i="1"/>
  <c r="W449" i="1"/>
  <c r="AM449" i="1"/>
  <c r="Q451" i="1"/>
  <c r="AG451" i="1"/>
  <c r="AW451" i="1"/>
  <c r="S453" i="1"/>
  <c r="AI453" i="1"/>
  <c r="AY453" i="1"/>
  <c r="G509" i="1"/>
  <c r="G508" i="1"/>
  <c r="G504" i="1"/>
  <c r="AE504" i="1"/>
  <c r="K508" i="1"/>
  <c r="AK401" i="1"/>
  <c r="G454" i="1"/>
  <c r="K449" i="1"/>
  <c r="AA449" i="1"/>
  <c r="AQ449" i="1"/>
  <c r="U451" i="1"/>
  <c r="AK451" i="1"/>
  <c r="G453" i="1"/>
  <c r="W453" i="1"/>
  <c r="AM453" i="1"/>
  <c r="AC507" i="1"/>
  <c r="AC506" i="1"/>
  <c r="AG507" i="1"/>
  <c r="AG506" i="1"/>
  <c r="AK507" i="1"/>
  <c r="AK506" i="1"/>
  <c r="AS507" i="1"/>
  <c r="AS506" i="1"/>
  <c r="AW507" i="1"/>
  <c r="AW506" i="1"/>
  <c r="AA508" i="1"/>
  <c r="P507" i="1"/>
  <c r="AF507" i="1"/>
  <c r="AV507" i="1"/>
  <c r="K527" i="1"/>
  <c r="O524" i="1"/>
  <c r="S527" i="1"/>
  <c r="W524" i="1"/>
  <c r="AA527" i="1"/>
  <c r="AE524" i="1"/>
  <c r="AI527" i="1"/>
  <c r="AM524" i="1"/>
  <c r="AQ527" i="1"/>
  <c r="AU524" i="1"/>
  <c r="AY527" i="1"/>
  <c r="O528" i="1"/>
  <c r="S524" i="1"/>
  <c r="AA524" i="1"/>
  <c r="AE528" i="1"/>
  <c r="AI524" i="1"/>
  <c r="AM528" i="1"/>
  <c r="AU528" i="1"/>
  <c r="AY524" i="1"/>
  <c r="G528" i="1"/>
  <c r="L527" i="1"/>
  <c r="T527" i="1"/>
  <c r="AB527" i="1"/>
  <c r="W528" i="1"/>
  <c r="K542" i="1"/>
  <c r="O542" i="1"/>
  <c r="S543" i="1"/>
  <c r="W542" i="1"/>
  <c r="AA542" i="1"/>
  <c r="AE542" i="1"/>
  <c r="AI543" i="1"/>
  <c r="AM542" i="1"/>
  <c r="AQ542" i="1"/>
  <c r="AU542" i="1"/>
  <c r="AY542" i="1"/>
  <c r="H538" i="1"/>
  <c r="T538" i="1"/>
  <c r="O539" i="1"/>
  <c r="O481" i="1" s="1"/>
  <c r="W539" i="1"/>
  <c r="W481" i="1" s="1"/>
  <c r="AE539" i="1"/>
  <c r="AE481" i="1" s="1"/>
  <c r="AM539" i="1"/>
  <c r="AM481" i="1" s="1"/>
  <c r="AU539" i="1"/>
  <c r="AU481" i="1" s="1"/>
  <c r="K540" i="1"/>
  <c r="AA540" i="1"/>
  <c r="AQ540" i="1"/>
  <c r="H542" i="1"/>
  <c r="O543" i="1"/>
  <c r="AE543" i="1"/>
  <c r="AQ543" i="1"/>
  <c r="J575" i="1"/>
  <c r="N575" i="1"/>
  <c r="R575" i="1"/>
  <c r="V575" i="1"/>
  <c r="Z575" i="1"/>
  <c r="AD575" i="1"/>
  <c r="AH575" i="1"/>
  <c r="AL575" i="1"/>
  <c r="AP575" i="1"/>
  <c r="AT575" i="1"/>
  <c r="AX575" i="1"/>
  <c r="J572" i="1"/>
  <c r="J482" i="1" s="1"/>
  <c r="Z572" i="1"/>
  <c r="Z482" i="1" s="1"/>
  <c r="AP572" i="1"/>
  <c r="AP482" i="1" s="1"/>
  <c r="N573" i="1"/>
  <c r="AD573" i="1"/>
  <c r="AT573" i="1"/>
  <c r="J576" i="1"/>
  <c r="Z576" i="1"/>
  <c r="AP576" i="1"/>
  <c r="J591" i="1"/>
  <c r="R591" i="1"/>
  <c r="Z591" i="1"/>
  <c r="AH592" i="1"/>
  <c r="AL591" i="1"/>
  <c r="Q588" i="1"/>
  <c r="AG588" i="1"/>
  <c r="AW588" i="1"/>
  <c r="P589" i="1"/>
  <c r="P483" i="1" s="1"/>
  <c r="X589" i="1"/>
  <c r="X483" i="1" s="1"/>
  <c r="AF589" i="1"/>
  <c r="AF483" i="1" s="1"/>
  <c r="AN589" i="1"/>
  <c r="AN483" i="1" s="1"/>
  <c r="AV589" i="1"/>
  <c r="AV483" i="1" s="1"/>
  <c r="P590" i="1"/>
  <c r="AF590" i="1"/>
  <c r="AV590" i="1"/>
  <c r="Y592" i="1"/>
  <c r="AO592" i="1"/>
  <c r="L593" i="1"/>
  <c r="T593" i="1"/>
  <c r="AB593" i="1"/>
  <c r="AJ593" i="1"/>
  <c r="AR593" i="1"/>
  <c r="Q605" i="1"/>
  <c r="AG605" i="1"/>
  <c r="AW605" i="1"/>
  <c r="O602" i="1"/>
  <c r="AE602" i="1"/>
  <c r="AQ602" i="1"/>
  <c r="R603" i="1"/>
  <c r="R484" i="1" s="1"/>
  <c r="AG604" i="1"/>
  <c r="AT604" i="1"/>
  <c r="G606" i="1"/>
  <c r="AI606" i="1"/>
  <c r="AY606" i="1"/>
  <c r="H623" i="1"/>
  <c r="H620" i="1"/>
  <c r="H619" i="1"/>
  <c r="H485" i="1" s="1"/>
  <c r="M623" i="1"/>
  <c r="M622" i="1"/>
  <c r="M619" i="1"/>
  <c r="M485" i="1" s="1"/>
  <c r="M618" i="1"/>
  <c r="Q621" i="1"/>
  <c r="Q622" i="1"/>
  <c r="Q619" i="1"/>
  <c r="Q485" i="1" s="1"/>
  <c r="Q618" i="1"/>
  <c r="U622" i="1"/>
  <c r="U623" i="1"/>
  <c r="U618" i="1"/>
  <c r="U619" i="1"/>
  <c r="U485" i="1" s="1"/>
  <c r="Y623" i="1"/>
  <c r="Y618" i="1"/>
  <c r="Y619" i="1"/>
  <c r="Y485" i="1" s="1"/>
  <c r="AC621" i="1"/>
  <c r="AC622" i="1"/>
  <c r="AC623" i="1"/>
  <c r="AC619" i="1"/>
  <c r="AC485" i="1" s="1"/>
  <c r="AC618" i="1"/>
  <c r="AG623" i="1"/>
  <c r="AG622" i="1"/>
  <c r="AG619" i="1"/>
  <c r="AG485" i="1" s="1"/>
  <c r="AG618" i="1"/>
  <c r="AK622" i="1"/>
  <c r="AK623" i="1"/>
  <c r="AK618" i="1"/>
  <c r="AK619" i="1"/>
  <c r="AK485" i="1" s="1"/>
  <c r="AO623" i="1"/>
  <c r="AO618" i="1"/>
  <c r="AO619" i="1"/>
  <c r="AO485" i="1" s="1"/>
  <c r="AS621" i="1"/>
  <c r="AS622" i="1"/>
  <c r="AS623" i="1"/>
  <c r="AS619" i="1"/>
  <c r="AS485" i="1" s="1"/>
  <c r="AS618" i="1"/>
  <c r="AI509" i="1"/>
  <c r="AM509" i="1"/>
  <c r="AQ509" i="1"/>
  <c r="AU509" i="1"/>
  <c r="AY509" i="1"/>
  <c r="AQ504" i="1"/>
  <c r="AM508" i="1"/>
  <c r="G542" i="1"/>
  <c r="L541" i="1"/>
  <c r="P541" i="1"/>
  <c r="T541" i="1"/>
  <c r="X543" i="1"/>
  <c r="AB541" i="1"/>
  <c r="AF541" i="1"/>
  <c r="AJ541" i="1"/>
  <c r="AN543" i="1"/>
  <c r="AR541" i="1"/>
  <c r="AV542" i="1"/>
  <c r="L538" i="1"/>
  <c r="AF538" i="1"/>
  <c r="AR538" i="1"/>
  <c r="H539" i="1"/>
  <c r="H481" i="1" s="1"/>
  <c r="P539" i="1"/>
  <c r="P481" i="1" s="1"/>
  <c r="X539" i="1"/>
  <c r="X481" i="1" s="1"/>
  <c r="AF539" i="1"/>
  <c r="AF481" i="1" s="1"/>
  <c r="AN539" i="1"/>
  <c r="AN481" i="1" s="1"/>
  <c r="AV539" i="1"/>
  <c r="AV481" i="1" s="1"/>
  <c r="O540" i="1"/>
  <c r="AE540" i="1"/>
  <c r="AU540" i="1"/>
  <c r="L542" i="1"/>
  <c r="X542" i="1"/>
  <c r="AR542" i="1"/>
  <c r="P543" i="1"/>
  <c r="AF543" i="1"/>
  <c r="AU543" i="1"/>
  <c r="K572" i="1"/>
  <c r="K482" i="1" s="1"/>
  <c r="O576" i="1"/>
  <c r="S572" i="1"/>
  <c r="S482" i="1" s="1"/>
  <c r="W576" i="1"/>
  <c r="AA572" i="1"/>
  <c r="AA482" i="1" s="1"/>
  <c r="AE576" i="1"/>
  <c r="AI572" i="1"/>
  <c r="AI482" i="1" s="1"/>
  <c r="AM576" i="1"/>
  <c r="AQ572" i="1"/>
  <c r="AQ482" i="1" s="1"/>
  <c r="AU576" i="1"/>
  <c r="AY572" i="1"/>
  <c r="AY482" i="1" s="1"/>
  <c r="AI571" i="1"/>
  <c r="N572" i="1"/>
  <c r="N482" i="1" s="1"/>
  <c r="AD572" i="1"/>
  <c r="AD482" i="1" s="1"/>
  <c r="AT572" i="1"/>
  <c r="AT482" i="1" s="1"/>
  <c r="R573" i="1"/>
  <c r="AH573" i="1"/>
  <c r="AX573" i="1"/>
  <c r="AE575" i="1"/>
  <c r="N576" i="1"/>
  <c r="AD576" i="1"/>
  <c r="AT576" i="1"/>
  <c r="K591" i="1"/>
  <c r="O590" i="1"/>
  <c r="S591" i="1"/>
  <c r="W590" i="1"/>
  <c r="AE590" i="1"/>
  <c r="AM591" i="1"/>
  <c r="AU591" i="1"/>
  <c r="U588" i="1"/>
  <c r="AK588" i="1"/>
  <c r="H589" i="1"/>
  <c r="H483" i="1" s="1"/>
  <c r="Q589" i="1"/>
  <c r="Q483" i="1" s="1"/>
  <c r="Y589" i="1"/>
  <c r="Y483" i="1" s="1"/>
  <c r="AG589" i="1"/>
  <c r="AG483" i="1" s="1"/>
  <c r="AO589" i="1"/>
  <c r="AO483" i="1" s="1"/>
  <c r="AW589" i="1"/>
  <c r="AW483" i="1" s="1"/>
  <c r="T590" i="1"/>
  <c r="AJ590" i="1"/>
  <c r="M592" i="1"/>
  <c r="AC592" i="1"/>
  <c r="AS592" i="1"/>
  <c r="M593" i="1"/>
  <c r="U593" i="1"/>
  <c r="AC593" i="1"/>
  <c r="AK593" i="1"/>
  <c r="AS593" i="1"/>
  <c r="J606" i="1"/>
  <c r="N606" i="1"/>
  <c r="R606" i="1"/>
  <c r="V606" i="1"/>
  <c r="Z606" i="1"/>
  <c r="AD606" i="1"/>
  <c r="AH606" i="1"/>
  <c r="AL606" i="1"/>
  <c r="AP606" i="1"/>
  <c r="AT606" i="1"/>
  <c r="AX606" i="1"/>
  <c r="S602" i="1"/>
  <c r="AU602" i="1"/>
  <c r="K603" i="1"/>
  <c r="K484" i="1" s="1"/>
  <c r="S603" i="1"/>
  <c r="S484" i="1" s="1"/>
  <c r="AA603" i="1"/>
  <c r="AA484" i="1" s="1"/>
  <c r="AI603" i="1"/>
  <c r="AI484" i="1" s="1"/>
  <c r="AQ603" i="1"/>
  <c r="AQ484" i="1" s="1"/>
  <c r="AY603" i="1"/>
  <c r="AY484" i="1" s="1"/>
  <c r="V604" i="1"/>
  <c r="AH604" i="1"/>
  <c r="AX604" i="1"/>
  <c r="K606" i="1"/>
  <c r="W606" i="1"/>
  <c r="AM606" i="1"/>
  <c r="G607" i="1"/>
  <c r="O607" i="1"/>
  <c r="W607" i="1"/>
  <c r="AE607" i="1"/>
  <c r="AM607" i="1"/>
  <c r="AU607" i="1"/>
  <c r="J618" i="1"/>
  <c r="N622" i="1"/>
  <c r="R618" i="1"/>
  <c r="AP618" i="1"/>
  <c r="AP529" i="1"/>
  <c r="K524" i="1"/>
  <c r="AJ538" i="1"/>
  <c r="K539" i="1"/>
  <c r="K481" i="1" s="1"/>
  <c r="B481" i="1" s="1"/>
  <c r="S539" i="1"/>
  <c r="S481" i="1" s="1"/>
  <c r="AA539" i="1"/>
  <c r="AA481" i="1" s="1"/>
  <c r="AI539" i="1"/>
  <c r="AI481" i="1" s="1"/>
  <c r="AY539" i="1"/>
  <c r="AY481" i="1" s="1"/>
  <c r="P542" i="1"/>
  <c r="AJ542" i="1"/>
  <c r="AX542" i="1"/>
  <c r="T543" i="1"/>
  <c r="AJ543" i="1"/>
  <c r="AV543" i="1"/>
  <c r="K571" i="1"/>
  <c r="AQ571" i="1"/>
  <c r="R572" i="1"/>
  <c r="R482" i="1" s="1"/>
  <c r="AH572" i="1"/>
  <c r="AH482" i="1" s="1"/>
  <c r="AX572" i="1"/>
  <c r="AX482" i="1" s="1"/>
  <c r="V573" i="1"/>
  <c r="AL573" i="1"/>
  <c r="G575" i="1"/>
  <c r="AM575" i="1"/>
  <c r="R576" i="1"/>
  <c r="AH576" i="1"/>
  <c r="AX576" i="1"/>
  <c r="Y588" i="1"/>
  <c r="AO588" i="1"/>
  <c r="L589" i="1"/>
  <c r="L483" i="1" s="1"/>
  <c r="T589" i="1"/>
  <c r="T483" i="1" s="1"/>
  <c r="AB589" i="1"/>
  <c r="AB483" i="1" s="1"/>
  <c r="AJ589" i="1"/>
  <c r="AJ483" i="1" s="1"/>
  <c r="AR589" i="1"/>
  <c r="AR483" i="1" s="1"/>
  <c r="H590" i="1"/>
  <c r="X590" i="1"/>
  <c r="AN590" i="1"/>
  <c r="Q592" i="1"/>
  <c r="AG592" i="1"/>
  <c r="AW592" i="1"/>
  <c r="P593" i="1"/>
  <c r="X593" i="1"/>
  <c r="AF593" i="1"/>
  <c r="AN593" i="1"/>
  <c r="AV593" i="1"/>
  <c r="G602" i="1"/>
  <c r="W602" i="1"/>
  <c r="AI602" i="1"/>
  <c r="AY602" i="1"/>
  <c r="N603" i="1"/>
  <c r="N484" i="1" s="1"/>
  <c r="V603" i="1"/>
  <c r="V484" i="1" s="1"/>
  <c r="AD603" i="1"/>
  <c r="AD484" i="1" s="1"/>
  <c r="AL603" i="1"/>
  <c r="AL484" i="1" s="1"/>
  <c r="AT603" i="1"/>
  <c r="AT484" i="1" s="1"/>
  <c r="J604" i="1"/>
  <c r="Z604" i="1"/>
  <c r="AL604" i="1"/>
  <c r="O606" i="1"/>
  <c r="AA606" i="1"/>
  <c r="AQ606" i="1"/>
  <c r="J607" i="1"/>
  <c r="R607" i="1"/>
  <c r="Z607" i="1"/>
  <c r="AH607" i="1"/>
  <c r="AP607" i="1"/>
  <c r="AX607" i="1"/>
  <c r="AI504" i="1"/>
  <c r="AU508" i="1"/>
  <c r="AQ524" i="1"/>
  <c r="AB538" i="1"/>
  <c r="AK538" i="1"/>
  <c r="AB539" i="1"/>
  <c r="AB481" i="1" s="1"/>
  <c r="S571" i="1"/>
  <c r="AY571" i="1"/>
  <c r="V572" i="1"/>
  <c r="V482" i="1" s="1"/>
  <c r="AL572" i="1"/>
  <c r="AL482" i="1" s="1"/>
  <c r="J573" i="1"/>
  <c r="Z573" i="1"/>
  <c r="AP573" i="1"/>
  <c r="O575" i="1"/>
  <c r="AU575" i="1"/>
  <c r="V576" i="1"/>
  <c r="AL576" i="1"/>
  <c r="M588" i="1"/>
  <c r="AC588" i="1"/>
  <c r="AS588" i="1"/>
  <c r="M589" i="1"/>
  <c r="M483" i="1" s="1"/>
  <c r="U589" i="1"/>
  <c r="U483" i="1" s="1"/>
  <c r="AC589" i="1"/>
  <c r="AC483" i="1" s="1"/>
  <c r="AK589" i="1"/>
  <c r="AK483" i="1" s="1"/>
  <c r="AS589" i="1"/>
  <c r="AS483" i="1" s="1"/>
  <c r="L590" i="1"/>
  <c r="AB590" i="1"/>
  <c r="AR590" i="1"/>
  <c r="U592" i="1"/>
  <c r="AK592" i="1"/>
  <c r="H593" i="1"/>
  <c r="Q593" i="1"/>
  <c r="Y593" i="1"/>
  <c r="AG593" i="1"/>
  <c r="AO593" i="1"/>
  <c r="AW593" i="1"/>
  <c r="K602" i="1"/>
  <c r="AA602" i="1"/>
  <c r="AM602" i="1"/>
  <c r="G603" i="1"/>
  <c r="G484" i="1" s="1"/>
  <c r="O603" i="1"/>
  <c r="O484" i="1" s="1"/>
  <c r="W603" i="1"/>
  <c r="W484" i="1" s="1"/>
  <c r="AE603" i="1"/>
  <c r="AE484" i="1" s="1"/>
  <c r="AM603" i="1"/>
  <c r="AM484" i="1" s="1"/>
  <c r="AU603" i="1"/>
  <c r="AU484" i="1" s="1"/>
  <c r="N604" i="1"/>
  <c r="AD604" i="1"/>
  <c r="AP604" i="1"/>
  <c r="S606" i="1"/>
  <c r="AE606" i="1"/>
  <c r="AU606" i="1"/>
  <c r="K607" i="1"/>
  <c r="S607" i="1"/>
  <c r="AA607" i="1"/>
  <c r="AI607" i="1"/>
  <c r="AQ607" i="1"/>
  <c r="AY607" i="1"/>
  <c r="L622" i="1"/>
  <c r="L619" i="1"/>
  <c r="L485" i="1" s="1"/>
  <c r="L620" i="1"/>
  <c r="P622" i="1"/>
  <c r="P620" i="1"/>
  <c r="P619" i="1"/>
  <c r="P485" i="1" s="1"/>
  <c r="P623" i="1"/>
  <c r="T618" i="1"/>
  <c r="T619" i="1"/>
  <c r="T485" i="1" s="1"/>
  <c r="T620" i="1"/>
  <c r="T623" i="1"/>
  <c r="X618" i="1"/>
  <c r="X620" i="1"/>
  <c r="X619" i="1"/>
  <c r="X485" i="1" s="1"/>
  <c r="X622" i="1"/>
  <c r="AB618" i="1"/>
  <c r="AB623" i="1"/>
  <c r="AB619" i="1"/>
  <c r="AB485" i="1" s="1"/>
  <c r="AB622" i="1"/>
  <c r="AB620" i="1"/>
  <c r="AF622" i="1"/>
  <c r="AF620" i="1"/>
  <c r="AF619" i="1"/>
  <c r="AF485" i="1" s="1"/>
  <c r="AJ618" i="1"/>
  <c r="AJ619" i="1"/>
  <c r="AJ485" i="1" s="1"/>
  <c r="AJ620" i="1"/>
  <c r="AJ623" i="1"/>
  <c r="AN618" i="1"/>
  <c r="AN620" i="1"/>
  <c r="AN619" i="1"/>
  <c r="AN485" i="1" s="1"/>
  <c r="AN622" i="1"/>
  <c r="AR618" i="1"/>
  <c r="AR623" i="1"/>
  <c r="AR619" i="1"/>
  <c r="AR485" i="1" s="1"/>
  <c r="AR622" i="1"/>
  <c r="AR620" i="1"/>
  <c r="AV622" i="1"/>
  <c r="AV620" i="1"/>
  <c r="AV619" i="1"/>
  <c r="AV485" i="1" s="1"/>
  <c r="AW623" i="1"/>
  <c r="G636" i="1"/>
  <c r="L637" i="1"/>
  <c r="P636" i="1"/>
  <c r="X633" i="1"/>
  <c r="AF636" i="1"/>
  <c r="AR637" i="1"/>
  <c r="AV636" i="1"/>
  <c r="O633" i="1"/>
  <c r="AE633" i="1"/>
  <c r="AN633" i="1"/>
  <c r="G634" i="1"/>
  <c r="G486" i="1" s="1"/>
  <c r="O634" i="1"/>
  <c r="O486" i="1" s="1"/>
  <c r="W634" i="1"/>
  <c r="W486" i="1" s="1"/>
  <c r="AE634" i="1"/>
  <c r="AE486" i="1" s="1"/>
  <c r="AM634" i="1"/>
  <c r="AM486" i="1" s="1"/>
  <c r="AU634" i="1"/>
  <c r="AU486" i="1" s="1"/>
  <c r="N635" i="1"/>
  <c r="AD635" i="1"/>
  <c r="AT635" i="1"/>
  <c r="S637" i="1"/>
  <c r="AQ637" i="1"/>
  <c r="J638" i="1"/>
  <c r="R638" i="1"/>
  <c r="Z638" i="1"/>
  <c r="AH638" i="1"/>
  <c r="AP638" i="1"/>
  <c r="AX638" i="1"/>
  <c r="M651" i="1"/>
  <c r="AC651" i="1"/>
  <c r="AS651" i="1"/>
  <c r="M652" i="1"/>
  <c r="M487" i="1" s="1"/>
  <c r="U652" i="1"/>
  <c r="U487" i="1" s="1"/>
  <c r="AC652" i="1"/>
  <c r="AC487" i="1" s="1"/>
  <c r="AK652" i="1"/>
  <c r="AK487" i="1" s="1"/>
  <c r="AS652" i="1"/>
  <c r="AS487" i="1" s="1"/>
  <c r="U655" i="1"/>
  <c r="AK655" i="1"/>
  <c r="H656" i="1"/>
  <c r="Q656" i="1"/>
  <c r="Y656" i="1"/>
  <c r="AG656" i="1"/>
  <c r="AO656" i="1"/>
  <c r="AW656" i="1"/>
  <c r="G673" i="1"/>
  <c r="G675" i="1"/>
  <c r="G674" i="1"/>
  <c r="L674" i="1"/>
  <c r="T674" i="1"/>
  <c r="X673" i="1"/>
  <c r="AB674" i="1"/>
  <c r="AF670" i="1"/>
  <c r="AF673" i="1"/>
  <c r="AN673" i="1"/>
  <c r="AR674" i="1"/>
  <c r="O670" i="1"/>
  <c r="AA670" i="1"/>
  <c r="AQ670" i="1"/>
  <c r="R671" i="1"/>
  <c r="R488" i="1" s="1"/>
  <c r="AL672" i="1"/>
  <c r="K674" i="1"/>
  <c r="AX618" i="1"/>
  <c r="S621" i="1"/>
  <c r="AY621" i="1"/>
  <c r="AW618" i="1"/>
  <c r="G633" i="1"/>
  <c r="S633" i="1"/>
  <c r="AF633" i="1"/>
  <c r="AQ633" i="1"/>
  <c r="J634" i="1"/>
  <c r="J486" i="1" s="1"/>
  <c r="R634" i="1"/>
  <c r="R486" i="1" s="1"/>
  <c r="Z634" i="1"/>
  <c r="Z486" i="1" s="1"/>
  <c r="AH634" i="1"/>
  <c r="AH486" i="1" s="1"/>
  <c r="AP634" i="1"/>
  <c r="AP486" i="1" s="1"/>
  <c r="AX634" i="1"/>
  <c r="AX486" i="1" s="1"/>
  <c r="R635" i="1"/>
  <c r="AH635" i="1"/>
  <c r="AX635" i="1"/>
  <c r="G637" i="1"/>
  <c r="AE637" i="1"/>
  <c r="AU637" i="1"/>
  <c r="K638" i="1"/>
  <c r="S638" i="1"/>
  <c r="AA638" i="1"/>
  <c r="AI638" i="1"/>
  <c r="AQ638" i="1"/>
  <c r="AY638" i="1"/>
  <c r="L655" i="1"/>
  <c r="P655" i="1"/>
  <c r="T655" i="1"/>
  <c r="X655" i="1"/>
  <c r="AB655" i="1"/>
  <c r="AF655" i="1"/>
  <c r="AJ655" i="1"/>
  <c r="AN655" i="1"/>
  <c r="AR655" i="1"/>
  <c r="AV655" i="1"/>
  <c r="Q651" i="1"/>
  <c r="AG651" i="1"/>
  <c r="AW651" i="1"/>
  <c r="P652" i="1"/>
  <c r="P487" i="1" s="1"/>
  <c r="X652" i="1"/>
  <c r="X487" i="1" s="1"/>
  <c r="AF652" i="1"/>
  <c r="AF487" i="1" s="1"/>
  <c r="AN652" i="1"/>
  <c r="AN487" i="1" s="1"/>
  <c r="AV652" i="1"/>
  <c r="AV487" i="1" s="1"/>
  <c r="P653" i="1"/>
  <c r="AF653" i="1"/>
  <c r="AV653" i="1"/>
  <c r="Y655" i="1"/>
  <c r="AO655" i="1"/>
  <c r="L656" i="1"/>
  <c r="T656" i="1"/>
  <c r="AB656" i="1"/>
  <c r="AJ656" i="1"/>
  <c r="AR656" i="1"/>
  <c r="H673" i="1"/>
  <c r="AK672" i="1"/>
  <c r="S670" i="1"/>
  <c r="AI671" i="1"/>
  <c r="AI488" i="1" s="1"/>
  <c r="AY671" i="1"/>
  <c r="AY488" i="1" s="1"/>
  <c r="V672" i="1"/>
  <c r="AT672" i="1"/>
  <c r="AY674" i="1"/>
  <c r="AL675" i="1"/>
  <c r="AW619" i="1"/>
  <c r="AW485" i="1" s="1"/>
  <c r="H633" i="1"/>
  <c r="W633" i="1"/>
  <c r="AI633" i="1"/>
  <c r="AU633" i="1"/>
  <c r="K634" i="1"/>
  <c r="K486" i="1" s="1"/>
  <c r="S634" i="1"/>
  <c r="S486" i="1" s="1"/>
  <c r="AA634" i="1"/>
  <c r="AA486" i="1" s="1"/>
  <c r="AI634" i="1"/>
  <c r="AI486" i="1" s="1"/>
  <c r="AQ634" i="1"/>
  <c r="AQ486" i="1" s="1"/>
  <c r="AY634" i="1"/>
  <c r="AY486" i="1" s="1"/>
  <c r="V635" i="1"/>
  <c r="AL635" i="1"/>
  <c r="K637" i="1"/>
  <c r="W637" i="1"/>
  <c r="AI637" i="1"/>
  <c r="N638" i="1"/>
  <c r="V638" i="1"/>
  <c r="AD638" i="1"/>
  <c r="AL638" i="1"/>
  <c r="AT638" i="1"/>
  <c r="J655" i="1"/>
  <c r="AL651" i="1"/>
  <c r="AP655" i="1"/>
  <c r="K653" i="1"/>
  <c r="W654" i="1"/>
  <c r="AM654" i="1"/>
  <c r="AQ653" i="1"/>
  <c r="G654" i="1"/>
  <c r="U651" i="1"/>
  <c r="AK651" i="1"/>
  <c r="H652" i="1"/>
  <c r="H487" i="1" s="1"/>
  <c r="Q652" i="1"/>
  <c r="Q487" i="1" s="1"/>
  <c r="Y652" i="1"/>
  <c r="Y487" i="1" s="1"/>
  <c r="AG652" i="1"/>
  <c r="AG487" i="1" s="1"/>
  <c r="AO652" i="1"/>
  <c r="AO487" i="1" s="1"/>
  <c r="AW652" i="1"/>
  <c r="AW487" i="1" s="1"/>
  <c r="T653" i="1"/>
  <c r="AJ653" i="1"/>
  <c r="M655" i="1"/>
  <c r="AC655" i="1"/>
  <c r="AS655" i="1"/>
  <c r="M656" i="1"/>
  <c r="U656" i="1"/>
  <c r="AC656" i="1"/>
  <c r="AK656" i="1"/>
  <c r="AS656" i="1"/>
  <c r="J674" i="1"/>
  <c r="J675" i="1"/>
  <c r="R674" i="1"/>
  <c r="R675" i="1"/>
  <c r="Z674" i="1"/>
  <c r="Z675" i="1"/>
  <c r="AD674" i="1"/>
  <c r="AD672" i="1"/>
  <c r="AH674" i="1"/>
  <c r="AH675" i="1"/>
  <c r="AP674" i="1"/>
  <c r="AP675" i="1"/>
  <c r="AP672" i="1"/>
  <c r="AX674" i="1"/>
  <c r="AX675" i="1"/>
  <c r="AX672" i="1"/>
  <c r="G670" i="1"/>
  <c r="W670" i="1"/>
  <c r="N671" i="1"/>
  <c r="N488" i="1" s="1"/>
  <c r="V671" i="1"/>
  <c r="V488" i="1" s="1"/>
  <c r="AD671" i="1"/>
  <c r="AD488" i="1" s="1"/>
  <c r="AL671" i="1"/>
  <c r="AL488" i="1" s="1"/>
  <c r="AT671" i="1"/>
  <c r="AT488" i="1" s="1"/>
  <c r="J672" i="1"/>
  <c r="Z672" i="1"/>
  <c r="N675" i="1"/>
  <c r="AT675" i="1"/>
  <c r="AW622" i="1"/>
  <c r="AY636" i="1"/>
  <c r="K633" i="1"/>
  <c r="AA633" i="1"/>
  <c r="AM633" i="1"/>
  <c r="AY633" i="1"/>
  <c r="N634" i="1"/>
  <c r="N486" i="1" s="1"/>
  <c r="V634" i="1"/>
  <c r="V486" i="1" s="1"/>
  <c r="AD634" i="1"/>
  <c r="AD486" i="1" s="1"/>
  <c r="AL634" i="1"/>
  <c r="AL486" i="1" s="1"/>
  <c r="AT634" i="1"/>
  <c r="AT486" i="1" s="1"/>
  <c r="J635" i="1"/>
  <c r="Z635" i="1"/>
  <c r="AP635" i="1"/>
  <c r="X636" i="1"/>
  <c r="O637" i="1"/>
  <c r="AA637" i="1"/>
  <c r="AM637" i="1"/>
  <c r="G638" i="1"/>
  <c r="O638" i="1"/>
  <c r="W638" i="1"/>
  <c r="AE638" i="1"/>
  <c r="AM638" i="1"/>
  <c r="AU638" i="1"/>
  <c r="Y651" i="1"/>
  <c r="AO651" i="1"/>
  <c r="L652" i="1"/>
  <c r="L487" i="1" s="1"/>
  <c r="T652" i="1"/>
  <c r="T487" i="1" s="1"/>
  <c r="AB652" i="1"/>
  <c r="AB487" i="1" s="1"/>
  <c r="AJ652" i="1"/>
  <c r="AJ487" i="1" s="1"/>
  <c r="AR652" i="1"/>
  <c r="AR487" i="1" s="1"/>
  <c r="H653" i="1"/>
  <c r="X653" i="1"/>
  <c r="AN653" i="1"/>
  <c r="Q655" i="1"/>
  <c r="AG655" i="1"/>
  <c r="AW655" i="1"/>
  <c r="P656" i="1"/>
  <c r="X656" i="1"/>
  <c r="AF656" i="1"/>
  <c r="AN656" i="1"/>
  <c r="AV656" i="1"/>
  <c r="K673" i="1"/>
  <c r="K675" i="1"/>
  <c r="O673" i="1"/>
  <c r="O675" i="1"/>
  <c r="S673" i="1"/>
  <c r="S675" i="1"/>
  <c r="S674" i="1"/>
  <c r="W673" i="1"/>
  <c r="W675" i="1"/>
  <c r="AA673" i="1"/>
  <c r="AA674" i="1"/>
  <c r="AA675" i="1"/>
  <c r="AE673" i="1"/>
  <c r="AE675" i="1"/>
  <c r="AI673" i="1"/>
  <c r="AI675" i="1"/>
  <c r="AI674" i="1"/>
  <c r="AM673" i="1"/>
  <c r="AM675" i="1"/>
  <c r="AQ673" i="1"/>
  <c r="AQ674" i="1"/>
  <c r="AQ675" i="1"/>
  <c r="AU673" i="1"/>
  <c r="AU675" i="1"/>
  <c r="AU674" i="1"/>
  <c r="AY673" i="1"/>
  <c r="AY675" i="1"/>
  <c r="K670" i="1"/>
  <c r="X670" i="1"/>
  <c r="AM670" i="1"/>
  <c r="G671" i="1"/>
  <c r="G488" i="1" s="1"/>
  <c r="O671" i="1"/>
  <c r="O488" i="1" s="1"/>
  <c r="W671" i="1"/>
  <c r="W488" i="1" s="1"/>
  <c r="AE671" i="1"/>
  <c r="AE488" i="1" s="1"/>
  <c r="AM671" i="1"/>
  <c r="AM488" i="1" s="1"/>
  <c r="AU671" i="1"/>
  <c r="AU488" i="1" s="1"/>
  <c r="N672" i="1"/>
  <c r="AH672" i="1"/>
  <c r="AE674" i="1"/>
  <c r="V675" i="1"/>
  <c r="H685" i="1"/>
  <c r="H686" i="1"/>
  <c r="H684" i="1"/>
  <c r="H489" i="1" s="1"/>
  <c r="H688" i="1"/>
  <c r="M683" i="1"/>
  <c r="AC683" i="1"/>
  <c r="AS683" i="1"/>
  <c r="X684" i="1"/>
  <c r="X489" i="1" s="1"/>
  <c r="Q685" i="1"/>
  <c r="T686" i="1"/>
  <c r="AJ686" i="1"/>
  <c r="U687" i="1"/>
  <c r="AK687" i="1"/>
  <c r="AN688" i="1"/>
  <c r="J694" i="1"/>
  <c r="R695" i="1"/>
  <c r="R490" i="1" s="1"/>
  <c r="Z695" i="1"/>
  <c r="Z490" i="1" s="1"/>
  <c r="AD696" i="1"/>
  <c r="AH697" i="1"/>
  <c r="AL699" i="1"/>
  <c r="Q694" i="1"/>
  <c r="AS694" i="1"/>
  <c r="Q695" i="1"/>
  <c r="Q490" i="1" s="1"/>
  <c r="O696" i="1"/>
  <c r="AC696" i="1"/>
  <c r="AY696" i="1"/>
  <c r="AC697" i="1"/>
  <c r="AW697" i="1"/>
  <c r="U698" i="1"/>
  <c r="AO698" i="1"/>
  <c r="AY699" i="1"/>
  <c r="H712" i="1"/>
  <c r="J710" i="1"/>
  <c r="N714" i="1"/>
  <c r="V710" i="1"/>
  <c r="K713" i="1"/>
  <c r="W713" i="1"/>
  <c r="AA713" i="1"/>
  <c r="AM713" i="1"/>
  <c r="AQ713" i="1"/>
  <c r="Q711" i="1"/>
  <c r="Q491" i="1" s="1"/>
  <c r="AG711" i="1"/>
  <c r="AG491" i="1" s="1"/>
  <c r="AW711" i="1"/>
  <c r="AW491" i="1" s="1"/>
  <c r="Y712" i="1"/>
  <c r="AO712" i="1"/>
  <c r="AP714" i="1"/>
  <c r="U715" i="1"/>
  <c r="AK715" i="1"/>
  <c r="Y729" i="1"/>
  <c r="AO729" i="1"/>
  <c r="N732" i="1"/>
  <c r="K738" i="1"/>
  <c r="S738" i="1"/>
  <c r="AA738" i="1"/>
  <c r="AI738" i="1"/>
  <c r="AQ738" i="1"/>
  <c r="AY738" i="1"/>
  <c r="O740" i="1"/>
  <c r="W740" i="1"/>
  <c r="AE740" i="1"/>
  <c r="AM740" i="1"/>
  <c r="AU740" i="1"/>
  <c r="K742" i="1"/>
  <c r="S742" i="1"/>
  <c r="AA742" i="1"/>
  <c r="AI742" i="1"/>
  <c r="AQ742" i="1"/>
  <c r="AY742" i="1"/>
  <c r="Q683" i="1"/>
  <c r="AG683" i="1"/>
  <c r="AW683" i="1"/>
  <c r="AB684" i="1"/>
  <c r="AB489" i="1" s="1"/>
  <c r="U685" i="1"/>
  <c r="AW685" i="1"/>
  <c r="X686" i="1"/>
  <c r="AN686" i="1"/>
  <c r="L687" i="1"/>
  <c r="AB687" i="1"/>
  <c r="AR687" i="1"/>
  <c r="T688" i="1"/>
  <c r="K699" i="1"/>
  <c r="AA698" i="1"/>
  <c r="AE696" i="1"/>
  <c r="AI698" i="1"/>
  <c r="AM699" i="1"/>
  <c r="AQ694" i="1"/>
  <c r="U694" i="1"/>
  <c r="AG694" i="1"/>
  <c r="AU694" i="1"/>
  <c r="AM695" i="1"/>
  <c r="AM490" i="1" s="1"/>
  <c r="U696" i="1"/>
  <c r="AK696" i="1"/>
  <c r="M697" i="1"/>
  <c r="Y698" i="1"/>
  <c r="AS698" i="1"/>
  <c r="U711" i="1"/>
  <c r="U491" i="1" s="1"/>
  <c r="AK711" i="1"/>
  <c r="AK491" i="1" s="1"/>
  <c r="M712" i="1"/>
  <c r="AC712" i="1"/>
  <c r="AS712" i="1"/>
  <c r="Y715" i="1"/>
  <c r="AO715" i="1"/>
  <c r="K727" i="1"/>
  <c r="O731" i="1"/>
  <c r="S727" i="1"/>
  <c r="W731" i="1"/>
  <c r="AA727" i="1"/>
  <c r="AE731" i="1"/>
  <c r="AI727" i="1"/>
  <c r="AQ727" i="1"/>
  <c r="AY727" i="1"/>
  <c r="G731" i="1"/>
  <c r="L730" i="1"/>
  <c r="P732" i="1"/>
  <c r="T730" i="1"/>
  <c r="X729" i="1"/>
  <c r="AB730" i="1"/>
  <c r="AF732" i="1"/>
  <c r="AJ730" i="1"/>
  <c r="AR730" i="1"/>
  <c r="AV732" i="1"/>
  <c r="M738" i="1"/>
  <c r="U738" i="1"/>
  <c r="AC738" i="1"/>
  <c r="AK738" i="1"/>
  <c r="AS738" i="1"/>
  <c r="H739" i="1"/>
  <c r="H493" i="1" s="1"/>
  <c r="G740" i="1"/>
  <c r="Q740" i="1"/>
  <c r="Y740" i="1"/>
  <c r="AG740" i="1"/>
  <c r="AO740" i="1"/>
  <c r="AW740" i="1"/>
  <c r="M742" i="1"/>
  <c r="U742" i="1"/>
  <c r="AC742" i="1"/>
  <c r="AK742" i="1"/>
  <c r="AS742" i="1"/>
  <c r="K687" i="1"/>
  <c r="S688" i="1"/>
  <c r="W684" i="1"/>
  <c r="W489" i="1" s="1"/>
  <c r="AI688" i="1"/>
  <c r="AM684" i="1"/>
  <c r="AM489" i="1" s="1"/>
  <c r="AY688" i="1"/>
  <c r="U683" i="1"/>
  <c r="AK683" i="1"/>
  <c r="AN684" i="1"/>
  <c r="AN489" i="1" s="1"/>
  <c r="AG685" i="1"/>
  <c r="Y686" i="1"/>
  <c r="AO686" i="1"/>
  <c r="P687" i="1"/>
  <c r="AF687" i="1"/>
  <c r="AV687" i="1"/>
  <c r="X688" i="1"/>
  <c r="M694" i="1"/>
  <c r="Y694" i="1"/>
  <c r="AK694" i="1"/>
  <c r="AU695" i="1"/>
  <c r="AU490" i="1" s="1"/>
  <c r="W696" i="1"/>
  <c r="AO696" i="1"/>
  <c r="Q697" i="1"/>
  <c r="AK697" i="1"/>
  <c r="M698" i="1"/>
  <c r="AC698" i="1"/>
  <c r="AU698" i="1"/>
  <c r="Y711" i="1"/>
  <c r="Y491" i="1" s="1"/>
  <c r="AO711" i="1"/>
  <c r="AO491" i="1" s="1"/>
  <c r="Q712" i="1"/>
  <c r="AG712" i="1"/>
  <c r="AW712" i="1"/>
  <c r="M715" i="1"/>
  <c r="AC715" i="1"/>
  <c r="AS715" i="1"/>
  <c r="O738" i="1"/>
  <c r="W738" i="1"/>
  <c r="AE738" i="1"/>
  <c r="AM738" i="1"/>
  <c r="AU738" i="1"/>
  <c r="K740" i="1"/>
  <c r="S740" i="1"/>
  <c r="AA740" i="1"/>
  <c r="AI740" i="1"/>
  <c r="AQ740" i="1"/>
  <c r="AY740" i="1"/>
  <c r="O742" i="1"/>
  <c r="W742" i="1"/>
  <c r="AE742" i="1"/>
  <c r="AM742" i="1"/>
  <c r="AU742" i="1"/>
  <c r="L684" i="1"/>
  <c r="L489" i="1" s="1"/>
  <c r="AR684" i="1"/>
  <c r="AR489" i="1" s="1"/>
  <c r="AK685" i="1"/>
  <c r="M686" i="1"/>
  <c r="AC686" i="1"/>
  <c r="AS686" i="1"/>
  <c r="AJ688" i="1"/>
  <c r="O694" i="1"/>
  <c r="M695" i="1"/>
  <c r="M490" i="1" s="1"/>
  <c r="M696" i="1"/>
  <c r="AS696" i="1"/>
  <c r="S698" i="1"/>
  <c r="W699" i="1"/>
  <c r="M711" i="1"/>
  <c r="M491" i="1" s="1"/>
  <c r="AC711" i="1"/>
  <c r="AC491" i="1" s="1"/>
  <c r="AS711" i="1"/>
  <c r="AS491" i="1" s="1"/>
  <c r="U712" i="1"/>
  <c r="AK712" i="1"/>
  <c r="Q715" i="1"/>
  <c r="AG715" i="1"/>
  <c r="AW715" i="1"/>
  <c r="J727" i="1"/>
  <c r="V731" i="1"/>
  <c r="AD732" i="1"/>
  <c r="AP727" i="1"/>
  <c r="L743" i="1"/>
  <c r="AB743" i="1"/>
  <c r="AJ743" i="1"/>
  <c r="AR743" i="1"/>
  <c r="G738" i="1"/>
  <c r="Q738" i="1"/>
  <c r="Y738" i="1"/>
  <c r="AG738" i="1"/>
  <c r="AO738" i="1"/>
  <c r="AW738" i="1"/>
  <c r="M740" i="1"/>
  <c r="U740" i="1"/>
  <c r="AC740" i="1"/>
  <c r="AK740" i="1"/>
  <c r="AS740" i="1"/>
  <c r="H741" i="1"/>
  <c r="G742" i="1"/>
  <c r="Q742" i="1"/>
  <c r="Y742" i="1"/>
  <c r="AG742" i="1"/>
  <c r="AO742" i="1"/>
  <c r="AW742" i="1"/>
  <c r="I610" i="1"/>
  <c r="I316" i="1"/>
  <c r="I661" i="1"/>
  <c r="I412" i="1"/>
  <c r="I721" i="1"/>
  <c r="I415" i="1"/>
  <c r="I152" i="1"/>
  <c r="I703" i="1"/>
  <c r="I418" i="1"/>
  <c r="I155" i="1"/>
  <c r="I501" i="1"/>
  <c r="I357" i="1"/>
  <c r="I215" i="1"/>
  <c r="I646" i="1"/>
  <c r="I366" i="1"/>
  <c r="I217" i="1"/>
  <c r="I725" i="1"/>
  <c r="I427" i="1"/>
  <c r="I164" i="1"/>
  <c r="I680" i="1"/>
  <c r="I446" i="1"/>
  <c r="I650" i="1"/>
  <c r="I384" i="1"/>
  <c r="I223" i="1"/>
  <c r="I668" i="1"/>
  <c r="I434" i="1"/>
  <c r="I171" i="1"/>
  <c r="I669" i="1"/>
  <c r="I436" i="1"/>
  <c r="I173" i="1"/>
  <c r="M177" i="1"/>
  <c r="M178" i="1"/>
  <c r="M174" i="1"/>
  <c r="AC177" i="1"/>
  <c r="AC178" i="1"/>
  <c r="AC174" i="1"/>
  <c r="AS177" i="1"/>
  <c r="AS178" i="1"/>
  <c r="AS174" i="1"/>
  <c r="I149" i="1"/>
  <c r="AW175" i="1"/>
  <c r="AW456" i="1" s="1"/>
  <c r="AW463" i="1" s="1"/>
  <c r="U179" i="1"/>
  <c r="AS179" i="1"/>
  <c r="M307" i="1"/>
  <c r="M303" i="1"/>
  <c r="M459" i="1" s="1"/>
  <c r="M466" i="1" s="1"/>
  <c r="M306" i="1"/>
  <c r="M302" i="1"/>
  <c r="M304" i="1"/>
  <c r="Y307" i="1"/>
  <c r="Y303" i="1"/>
  <c r="Y459" i="1" s="1"/>
  <c r="Y466" i="1" s="1"/>
  <c r="Y306" i="1"/>
  <c r="Y302" i="1"/>
  <c r="Y304" i="1"/>
  <c r="AK307" i="1"/>
  <c r="AK303" i="1"/>
  <c r="AK459" i="1" s="1"/>
  <c r="AK466" i="1" s="1"/>
  <c r="AK306" i="1"/>
  <c r="AK302" i="1"/>
  <c r="AK304" i="1"/>
  <c r="AS307" i="1"/>
  <c r="AS303" i="1"/>
  <c r="AS459" i="1" s="1"/>
  <c r="AS466" i="1" s="1"/>
  <c r="AS306" i="1"/>
  <c r="AS302" i="1"/>
  <c r="AS304" i="1"/>
  <c r="I239" i="1"/>
  <c r="I550" i="1"/>
  <c r="I324" i="1"/>
  <c r="I642" i="1"/>
  <c r="I438" i="1"/>
  <c r="I582" i="1"/>
  <c r="I346" i="1"/>
  <c r="I644" i="1"/>
  <c r="I441" i="1"/>
  <c r="I564" i="1"/>
  <c r="I372" i="1"/>
  <c r="M176" i="1"/>
  <c r="U176" i="1"/>
  <c r="AC176" i="1"/>
  <c r="AK176" i="1"/>
  <c r="AS176" i="1"/>
  <c r="M201" i="1"/>
  <c r="M197" i="1"/>
  <c r="M457" i="1" s="1"/>
  <c r="M464" i="1" s="1"/>
  <c r="M198" i="1"/>
  <c r="Q201" i="1"/>
  <c r="Q197" i="1"/>
  <c r="Q457" i="1" s="1"/>
  <c r="Q464" i="1" s="1"/>
  <c r="Q198" i="1"/>
  <c r="U201" i="1"/>
  <c r="U197" i="1"/>
  <c r="U457" i="1" s="1"/>
  <c r="U464" i="1" s="1"/>
  <c r="U198" i="1"/>
  <c r="Y201" i="1"/>
  <c r="Y197" i="1"/>
  <c r="Y457" i="1" s="1"/>
  <c r="Y464" i="1" s="1"/>
  <c r="Y198" i="1"/>
  <c r="AC201" i="1"/>
  <c r="AC197" i="1"/>
  <c r="AC457" i="1" s="1"/>
  <c r="AC464" i="1" s="1"/>
  <c r="AC198" i="1"/>
  <c r="AG201" i="1"/>
  <c r="AG197" i="1"/>
  <c r="AG457" i="1" s="1"/>
  <c r="AG464" i="1" s="1"/>
  <c r="AG198" i="1"/>
  <c r="AK201" i="1"/>
  <c r="AK197" i="1"/>
  <c r="AK457" i="1" s="1"/>
  <c r="AK464" i="1" s="1"/>
  <c r="AK198" i="1"/>
  <c r="AO201" i="1"/>
  <c r="AO197" i="1"/>
  <c r="AO457" i="1" s="1"/>
  <c r="AO464" i="1" s="1"/>
  <c r="AO198" i="1"/>
  <c r="AS201" i="1"/>
  <c r="AS197" i="1"/>
  <c r="AS457" i="1" s="1"/>
  <c r="AS464" i="1" s="1"/>
  <c r="AS198" i="1"/>
  <c r="AW201" i="1"/>
  <c r="AW197" i="1"/>
  <c r="AW457" i="1" s="1"/>
  <c r="AW464" i="1" s="1"/>
  <c r="AW198" i="1"/>
  <c r="I185" i="1"/>
  <c r="I188" i="1"/>
  <c r="I193" i="1"/>
  <c r="Q196" i="1"/>
  <c r="Y196" i="1"/>
  <c r="AG196" i="1"/>
  <c r="AO196" i="1"/>
  <c r="AW196" i="1"/>
  <c r="M200" i="1"/>
  <c r="U200" i="1"/>
  <c r="AC200" i="1"/>
  <c r="AK200" i="1"/>
  <c r="AS200" i="1"/>
  <c r="K230" i="1"/>
  <c r="K226" i="1"/>
  <c r="K458" i="1" s="1"/>
  <c r="K465" i="1" s="1"/>
  <c r="K227" i="1"/>
  <c r="O230" i="1"/>
  <c r="O226" i="1"/>
  <c r="O458" i="1" s="1"/>
  <c r="O465" i="1" s="1"/>
  <c r="O227" i="1"/>
  <c r="S230" i="1"/>
  <c r="S226" i="1"/>
  <c r="S458" i="1" s="1"/>
  <c r="S465" i="1" s="1"/>
  <c r="S227" i="1"/>
  <c r="W230" i="1"/>
  <c r="W226" i="1"/>
  <c r="W458" i="1" s="1"/>
  <c r="W465" i="1" s="1"/>
  <c r="W227" i="1"/>
  <c r="AA230" i="1"/>
  <c r="AA226" i="1"/>
  <c r="AA458" i="1" s="1"/>
  <c r="AA465" i="1" s="1"/>
  <c r="AA227" i="1"/>
  <c r="AE230" i="1"/>
  <c r="AE226" i="1"/>
  <c r="AE458" i="1" s="1"/>
  <c r="AE465" i="1" s="1"/>
  <c r="AE227" i="1"/>
  <c r="AI230" i="1"/>
  <c r="AI226" i="1"/>
  <c r="AI458" i="1" s="1"/>
  <c r="AI465" i="1" s="1"/>
  <c r="AI227" i="1"/>
  <c r="AM230" i="1"/>
  <c r="AM226" i="1"/>
  <c r="AM458" i="1" s="1"/>
  <c r="AM465" i="1" s="1"/>
  <c r="AM227" i="1"/>
  <c r="AQ230" i="1"/>
  <c r="AQ226" i="1"/>
  <c r="AQ458" i="1" s="1"/>
  <c r="AQ465" i="1" s="1"/>
  <c r="AQ227" i="1"/>
  <c r="AU230" i="1"/>
  <c r="AU226" i="1"/>
  <c r="AU458" i="1" s="1"/>
  <c r="AU465" i="1" s="1"/>
  <c r="AU227" i="1"/>
  <c r="AY230" i="1"/>
  <c r="AY226" i="1"/>
  <c r="AY458" i="1" s="1"/>
  <c r="AY465" i="1" s="1"/>
  <c r="AY227" i="1"/>
  <c r="K228" i="1"/>
  <c r="S228" i="1"/>
  <c r="AA228" i="1"/>
  <c r="AI228" i="1"/>
  <c r="AQ228" i="1"/>
  <c r="AY228" i="1"/>
  <c r="J306" i="1"/>
  <c r="J302" i="1"/>
  <c r="J305" i="1"/>
  <c r="J307" i="1"/>
  <c r="J303" i="1"/>
  <c r="J459" i="1" s="1"/>
  <c r="J466" i="1" s="1"/>
  <c r="N306" i="1"/>
  <c r="N302" i="1"/>
  <c r="N305" i="1"/>
  <c r="N307" i="1"/>
  <c r="N303" i="1"/>
  <c r="N459" i="1" s="1"/>
  <c r="N466" i="1" s="1"/>
  <c r="R306" i="1"/>
  <c r="R302" i="1"/>
  <c r="R305" i="1"/>
  <c r="R307" i="1"/>
  <c r="R303" i="1"/>
  <c r="R459" i="1" s="1"/>
  <c r="R466" i="1" s="1"/>
  <c r="V306" i="1"/>
  <c r="V302" i="1"/>
  <c r="V305" i="1"/>
  <c r="V307" i="1"/>
  <c r="V303" i="1"/>
  <c r="V459" i="1" s="1"/>
  <c r="V466" i="1" s="1"/>
  <c r="Z306" i="1"/>
  <c r="Z302" i="1"/>
  <c r="Z305" i="1"/>
  <c r="Z307" i="1"/>
  <c r="Z303" i="1"/>
  <c r="Z459" i="1" s="1"/>
  <c r="Z466" i="1" s="1"/>
  <c r="AD306" i="1"/>
  <c r="AD302" i="1"/>
  <c r="AD305" i="1"/>
  <c r="AD307" i="1"/>
  <c r="AD303" i="1"/>
  <c r="AD459" i="1" s="1"/>
  <c r="AD466" i="1" s="1"/>
  <c r="AH306" i="1"/>
  <c r="AH302" i="1"/>
  <c r="AH305" i="1"/>
  <c r="AH307" i="1"/>
  <c r="AH303" i="1"/>
  <c r="AH459" i="1" s="1"/>
  <c r="AH466" i="1" s="1"/>
  <c r="AL306" i="1"/>
  <c r="AL302" i="1"/>
  <c r="AL305" i="1"/>
  <c r="AL307" i="1"/>
  <c r="AL303" i="1"/>
  <c r="AL459" i="1" s="1"/>
  <c r="AL466" i="1" s="1"/>
  <c r="AP306" i="1"/>
  <c r="AP302" i="1"/>
  <c r="AP305" i="1"/>
  <c r="AP307" i="1"/>
  <c r="AP303" i="1"/>
  <c r="AP459" i="1" s="1"/>
  <c r="AP466" i="1" s="1"/>
  <c r="AT306" i="1"/>
  <c r="AT302" i="1"/>
  <c r="AT305" i="1"/>
  <c r="AT307" i="1"/>
  <c r="AT303" i="1"/>
  <c r="AT459" i="1" s="1"/>
  <c r="AT466" i="1" s="1"/>
  <c r="AX306" i="1"/>
  <c r="AX302" i="1"/>
  <c r="AX305" i="1"/>
  <c r="AX307" i="1"/>
  <c r="AX303" i="1"/>
  <c r="AX459" i="1" s="1"/>
  <c r="AX466" i="1" s="1"/>
  <c r="M305" i="1"/>
  <c r="AS305" i="1"/>
  <c r="I497" i="1"/>
  <c r="I474" i="1"/>
  <c r="I313" i="1"/>
  <c r="I206" i="1"/>
  <c r="I549" i="1"/>
  <c r="I323" i="1"/>
  <c r="I553" i="1"/>
  <c r="I329" i="1"/>
  <c r="I720" i="1"/>
  <c r="I414" i="1"/>
  <c r="I597" i="1"/>
  <c r="I345" i="1"/>
  <c r="I559" i="1"/>
  <c r="I355" i="1"/>
  <c r="I518" i="1"/>
  <c r="I363" i="1"/>
  <c r="I563" i="1"/>
  <c r="I371" i="1"/>
  <c r="I586" i="1"/>
  <c r="I381" i="1"/>
  <c r="Q177" i="1"/>
  <c r="Q178" i="1"/>
  <c r="Q174" i="1"/>
  <c r="Y177" i="1"/>
  <c r="Y178" i="1"/>
  <c r="Y174" i="1"/>
  <c r="AO177" i="1"/>
  <c r="AO178" i="1"/>
  <c r="AO174" i="1"/>
  <c r="AO175" i="1"/>
  <c r="AO456" i="1" s="1"/>
  <c r="AO463" i="1" s="1"/>
  <c r="M179" i="1"/>
  <c r="AK179" i="1"/>
  <c r="Q307" i="1"/>
  <c r="Q303" i="1"/>
  <c r="Q459" i="1" s="1"/>
  <c r="Q466" i="1" s="1"/>
  <c r="Q306" i="1"/>
  <c r="Q302" i="1"/>
  <c r="Q304" i="1"/>
  <c r="AG307" i="1"/>
  <c r="AG303" i="1"/>
  <c r="AG459" i="1" s="1"/>
  <c r="AG466" i="1" s="1"/>
  <c r="AG306" i="1"/>
  <c r="AG302" i="1"/>
  <c r="AG304" i="1"/>
  <c r="I249" i="1"/>
  <c r="Y305" i="1"/>
  <c r="I532" i="1"/>
  <c r="I317" i="1"/>
  <c r="I207" i="1"/>
  <c r="I552" i="1"/>
  <c r="I327" i="1"/>
  <c r="I580" i="1"/>
  <c r="I333" i="1"/>
  <c r="I630" i="1"/>
  <c r="I339" i="1"/>
  <c r="I598" i="1"/>
  <c r="I349" i="1"/>
  <c r="I678" i="1"/>
  <c r="I440" i="1"/>
  <c r="I645" i="1"/>
  <c r="I442" i="1"/>
  <c r="I536" i="1"/>
  <c r="I367" i="1"/>
  <c r="I218" i="1"/>
  <c r="I647" i="1"/>
  <c r="I443" i="1"/>
  <c r="I502" i="1"/>
  <c r="I376" i="1"/>
  <c r="I220" i="1"/>
  <c r="I649" i="1"/>
  <c r="I377" i="1"/>
  <c r="I221" i="1"/>
  <c r="I666" i="1"/>
  <c r="I431" i="1"/>
  <c r="I168" i="1"/>
  <c r="I521" i="1"/>
  <c r="I382" i="1"/>
  <c r="I616" i="1"/>
  <c r="I385" i="1"/>
  <c r="I566" i="1"/>
  <c r="I389" i="1"/>
  <c r="I569" i="1"/>
  <c r="I392" i="1"/>
  <c r="I681" i="1"/>
  <c r="I447" i="1"/>
  <c r="I617" i="1"/>
  <c r="I396" i="1"/>
  <c r="I626" i="1"/>
  <c r="I475" i="1"/>
  <c r="I311" i="1"/>
  <c r="I719" i="1"/>
  <c r="I321" i="1"/>
  <c r="I208" i="1"/>
  <c r="K179" i="1"/>
  <c r="K175" i="1"/>
  <c r="K456" i="1" s="1"/>
  <c r="K463" i="1" s="1"/>
  <c r="K176" i="1"/>
  <c r="S179" i="1"/>
  <c r="S175" i="1"/>
  <c r="S456" i="1" s="1"/>
  <c r="S463" i="1" s="1"/>
  <c r="S176" i="1"/>
  <c r="AA179" i="1"/>
  <c r="AA175" i="1"/>
  <c r="AA456" i="1" s="1"/>
  <c r="AA463" i="1" s="1"/>
  <c r="AA176" i="1"/>
  <c r="AI179" i="1"/>
  <c r="AI175" i="1"/>
  <c r="AI456" i="1" s="1"/>
  <c r="AI463" i="1" s="1"/>
  <c r="AI176" i="1"/>
  <c r="AQ179" i="1"/>
  <c r="AQ175" i="1"/>
  <c r="AQ456" i="1" s="1"/>
  <c r="AQ463" i="1" s="1"/>
  <c r="AQ176" i="1"/>
  <c r="AY179" i="1"/>
  <c r="AY175" i="1"/>
  <c r="AY456" i="1" s="1"/>
  <c r="AY463" i="1" s="1"/>
  <c r="AY176" i="1"/>
  <c r="M175" i="1"/>
  <c r="M456" i="1" s="1"/>
  <c r="M463" i="1" s="1"/>
  <c r="AC175" i="1"/>
  <c r="AC456" i="1" s="1"/>
  <c r="AC463" i="1" s="1"/>
  <c r="AS175" i="1"/>
  <c r="AS456" i="1" s="1"/>
  <c r="AS463" i="1" s="1"/>
  <c r="K177" i="1"/>
  <c r="S177" i="1"/>
  <c r="AA177" i="1"/>
  <c r="AI177" i="1"/>
  <c r="AQ177" i="1"/>
  <c r="AY177" i="1"/>
  <c r="Q179" i="1"/>
  <c r="Y179" i="1"/>
  <c r="AO179" i="1"/>
  <c r="J200" i="1"/>
  <c r="J196" i="1"/>
  <c r="J201" i="1"/>
  <c r="J197" i="1"/>
  <c r="J457" i="1" s="1"/>
  <c r="J464" i="1" s="1"/>
  <c r="N200" i="1"/>
  <c r="N196" i="1"/>
  <c r="N201" i="1"/>
  <c r="N197" i="1"/>
  <c r="N457" i="1" s="1"/>
  <c r="N464" i="1" s="1"/>
  <c r="R200" i="1"/>
  <c r="R196" i="1"/>
  <c r="R201" i="1"/>
  <c r="R197" i="1"/>
  <c r="R457" i="1" s="1"/>
  <c r="R464" i="1" s="1"/>
  <c r="V200" i="1"/>
  <c r="V196" i="1"/>
  <c r="V201" i="1"/>
  <c r="V197" i="1"/>
  <c r="V457" i="1" s="1"/>
  <c r="V464" i="1" s="1"/>
  <c r="Z200" i="1"/>
  <c r="Z196" i="1"/>
  <c r="Z201" i="1"/>
  <c r="Z197" i="1"/>
  <c r="Z457" i="1" s="1"/>
  <c r="Z464" i="1" s="1"/>
  <c r="AD200" i="1"/>
  <c r="AD196" i="1"/>
  <c r="AD201" i="1"/>
  <c r="AD197" i="1"/>
  <c r="AD457" i="1" s="1"/>
  <c r="AD464" i="1" s="1"/>
  <c r="AH200" i="1"/>
  <c r="AH196" i="1"/>
  <c r="AH201" i="1"/>
  <c r="AH197" i="1"/>
  <c r="AH457" i="1" s="1"/>
  <c r="AH464" i="1" s="1"/>
  <c r="AL200" i="1"/>
  <c r="AL196" i="1"/>
  <c r="AL201" i="1"/>
  <c r="AL197" i="1"/>
  <c r="AL457" i="1" s="1"/>
  <c r="AL464" i="1" s="1"/>
  <c r="AP200" i="1"/>
  <c r="AP196" i="1"/>
  <c r="AP201" i="1"/>
  <c r="AP197" i="1"/>
  <c r="AP457" i="1" s="1"/>
  <c r="AP464" i="1" s="1"/>
  <c r="AT200" i="1"/>
  <c r="AT196" i="1"/>
  <c r="AT201" i="1"/>
  <c r="AT197" i="1"/>
  <c r="AT457" i="1" s="1"/>
  <c r="AT464" i="1" s="1"/>
  <c r="AX200" i="1"/>
  <c r="AX196" i="1"/>
  <c r="AX201" i="1"/>
  <c r="AX197" i="1"/>
  <c r="AX457" i="1" s="1"/>
  <c r="AX464" i="1" s="1"/>
  <c r="J198" i="1"/>
  <c r="R198" i="1"/>
  <c r="Z198" i="1"/>
  <c r="AH198" i="1"/>
  <c r="AP198" i="1"/>
  <c r="AX198" i="1"/>
  <c r="M199" i="1"/>
  <c r="U199" i="1"/>
  <c r="AC199" i="1"/>
  <c r="AK199" i="1"/>
  <c r="AS199" i="1"/>
  <c r="G230" i="1"/>
  <c r="G226" i="1"/>
  <c r="G458" i="1" s="1"/>
  <c r="G227" i="1"/>
  <c r="L229" i="1"/>
  <c r="L225" i="1"/>
  <c r="L230" i="1"/>
  <c r="L226" i="1"/>
  <c r="L458" i="1" s="1"/>
  <c r="L465" i="1" s="1"/>
  <c r="P229" i="1"/>
  <c r="P225" i="1"/>
  <c r="P230" i="1"/>
  <c r="P226" i="1"/>
  <c r="P458" i="1" s="1"/>
  <c r="P465" i="1" s="1"/>
  <c r="T229" i="1"/>
  <c r="T225" i="1"/>
  <c r="T230" i="1"/>
  <c r="T226" i="1"/>
  <c r="T458" i="1" s="1"/>
  <c r="T465" i="1" s="1"/>
  <c r="X229" i="1"/>
  <c r="X225" i="1"/>
  <c r="X230" i="1"/>
  <c r="X226" i="1"/>
  <c r="X458" i="1" s="1"/>
  <c r="X465" i="1" s="1"/>
  <c r="AB229" i="1"/>
  <c r="AB225" i="1"/>
  <c r="AB230" i="1"/>
  <c r="AB226" i="1"/>
  <c r="AB458" i="1" s="1"/>
  <c r="AB465" i="1" s="1"/>
  <c r="AF229" i="1"/>
  <c r="AF225" i="1"/>
  <c r="AF230" i="1"/>
  <c r="AF226" i="1"/>
  <c r="AF458" i="1" s="1"/>
  <c r="AF465" i="1" s="1"/>
  <c r="AJ229" i="1"/>
  <c r="AJ225" i="1"/>
  <c r="AJ230" i="1"/>
  <c r="AJ226" i="1"/>
  <c r="AJ458" i="1" s="1"/>
  <c r="AJ465" i="1" s="1"/>
  <c r="AN229" i="1"/>
  <c r="AN225" i="1"/>
  <c r="AN230" i="1"/>
  <c r="AN226" i="1"/>
  <c r="AN458" i="1" s="1"/>
  <c r="AN465" i="1" s="1"/>
  <c r="AR229" i="1"/>
  <c r="AR225" i="1"/>
  <c r="AR230" i="1"/>
  <c r="AR226" i="1"/>
  <c r="AR458" i="1" s="1"/>
  <c r="AR465" i="1" s="1"/>
  <c r="AV229" i="1"/>
  <c r="AV225" i="1"/>
  <c r="AV230" i="1"/>
  <c r="AV226" i="1"/>
  <c r="AV458" i="1" s="1"/>
  <c r="AV465" i="1" s="1"/>
  <c r="K225" i="1"/>
  <c r="S225" i="1"/>
  <c r="AA225" i="1"/>
  <c r="AI225" i="1"/>
  <c r="AQ225" i="1"/>
  <c r="AY225" i="1"/>
  <c r="L228" i="1"/>
  <c r="T228" i="1"/>
  <c r="AB228" i="1"/>
  <c r="AJ228" i="1"/>
  <c r="AR228" i="1"/>
  <c r="G229" i="1"/>
  <c r="O229" i="1"/>
  <c r="W229" i="1"/>
  <c r="AE229" i="1"/>
  <c r="AM229" i="1"/>
  <c r="AU229" i="1"/>
  <c r="J304" i="1"/>
  <c r="R304" i="1"/>
  <c r="Z304" i="1"/>
  <c r="AH304" i="1"/>
  <c r="AP304" i="1"/>
  <c r="AX304" i="1"/>
  <c r="Q305" i="1"/>
  <c r="AG305" i="1"/>
  <c r="I579" i="1"/>
  <c r="I319" i="1"/>
  <c r="I498" i="1"/>
  <c r="I326" i="1"/>
  <c r="I209" i="1"/>
  <c r="I533" i="1"/>
  <c r="I332" i="1"/>
  <c r="I211" i="1"/>
  <c r="I558" i="1"/>
  <c r="I341" i="1"/>
  <c r="I722" i="1"/>
  <c r="I439" i="1"/>
  <c r="I534" i="1"/>
  <c r="I353" i="1"/>
  <c r="I213" i="1"/>
  <c r="I584" i="1"/>
  <c r="I360" i="1"/>
  <c r="I562" i="1"/>
  <c r="I370" i="1"/>
  <c r="I665" i="1"/>
  <c r="I428" i="1"/>
  <c r="I165" i="1"/>
  <c r="I737" i="1"/>
  <c r="I430" i="1"/>
  <c r="I167" i="1"/>
  <c r="I523" i="1"/>
  <c r="I388" i="1"/>
  <c r="I709" i="1"/>
  <c r="I435" i="1"/>
  <c r="I172" i="1"/>
  <c r="U177" i="1"/>
  <c r="U178" i="1"/>
  <c r="U174" i="1"/>
  <c r="AG177" i="1"/>
  <c r="AG178" i="1"/>
  <c r="AG174" i="1"/>
  <c r="AK177" i="1"/>
  <c r="AK178" i="1"/>
  <c r="AK174" i="1"/>
  <c r="AW177" i="1"/>
  <c r="AW178" i="1"/>
  <c r="AW174" i="1"/>
  <c r="Q175" i="1"/>
  <c r="Q456" i="1" s="1"/>
  <c r="Q463" i="1" s="1"/>
  <c r="AG175" i="1"/>
  <c r="AG456" i="1" s="1"/>
  <c r="AG463" i="1" s="1"/>
  <c r="AC179" i="1"/>
  <c r="U307" i="1"/>
  <c r="U303" i="1"/>
  <c r="U459" i="1" s="1"/>
  <c r="U466" i="1" s="1"/>
  <c r="U306" i="1"/>
  <c r="U302" i="1"/>
  <c r="U304" i="1"/>
  <c r="AC307" i="1"/>
  <c r="AC303" i="1"/>
  <c r="AC459" i="1" s="1"/>
  <c r="AC466" i="1" s="1"/>
  <c r="AC306" i="1"/>
  <c r="AC302" i="1"/>
  <c r="AC304" i="1"/>
  <c r="AO307" i="1"/>
  <c r="AO303" i="1"/>
  <c r="AO459" i="1" s="1"/>
  <c r="AO466" i="1" s="1"/>
  <c r="AO306" i="1"/>
  <c r="AO302" i="1"/>
  <c r="AO304" i="1"/>
  <c r="AW307" i="1"/>
  <c r="AW303" i="1"/>
  <c r="AW459" i="1" s="1"/>
  <c r="AW466" i="1" s="1"/>
  <c r="AW306" i="1"/>
  <c r="AW302" i="1"/>
  <c r="AW304" i="1"/>
  <c r="I270" i="1"/>
  <c r="I274" i="1"/>
  <c r="I276" i="1"/>
  <c r="I281" i="1"/>
  <c r="I282" i="1"/>
  <c r="I289" i="1"/>
  <c r="I294" i="1"/>
  <c r="G400" i="1"/>
  <c r="G402" i="1"/>
  <c r="G398" i="1"/>
  <c r="G460" i="1" s="1"/>
  <c r="G401" i="1"/>
  <c r="G397" i="1"/>
  <c r="G399" i="1"/>
  <c r="I627" i="1"/>
  <c r="I314" i="1"/>
  <c r="I547" i="1"/>
  <c r="I320" i="1"/>
  <c r="I662" i="1"/>
  <c r="I413" i="1"/>
  <c r="I643" i="1"/>
  <c r="I336" i="1"/>
  <c r="I212" i="1"/>
  <c r="I513" i="1"/>
  <c r="I342" i="1"/>
  <c r="I664" i="1"/>
  <c r="I419" i="1"/>
  <c r="I156" i="1"/>
  <c r="I560" i="1"/>
  <c r="I358" i="1"/>
  <c r="I707" i="1"/>
  <c r="I423" i="1"/>
  <c r="I160" i="1"/>
  <c r="I537" i="1"/>
  <c r="I374" i="1"/>
  <c r="I219" i="1"/>
  <c r="I546" i="1"/>
  <c r="I315" i="1"/>
  <c r="I628" i="1"/>
  <c r="I318" i="1"/>
  <c r="I551" i="1"/>
  <c r="I325" i="1"/>
  <c r="G179" i="1"/>
  <c r="G175" i="1"/>
  <c r="G456" i="1" s="1"/>
  <c r="G176" i="1"/>
  <c r="O179" i="1"/>
  <c r="O175" i="1"/>
  <c r="O456" i="1" s="1"/>
  <c r="O463" i="1" s="1"/>
  <c r="O176" i="1"/>
  <c r="W179" i="1"/>
  <c r="W175" i="1"/>
  <c r="W456" i="1" s="1"/>
  <c r="W463" i="1" s="1"/>
  <c r="W176" i="1"/>
  <c r="AE179" i="1"/>
  <c r="AE175" i="1"/>
  <c r="AE456" i="1" s="1"/>
  <c r="AE463" i="1" s="1"/>
  <c r="AE176" i="1"/>
  <c r="AM179" i="1"/>
  <c r="AM175" i="1"/>
  <c r="AM456" i="1" s="1"/>
  <c r="AM463" i="1" s="1"/>
  <c r="AM176" i="1"/>
  <c r="AU179" i="1"/>
  <c r="AU175" i="1"/>
  <c r="AU456" i="1" s="1"/>
  <c r="AU463" i="1" s="1"/>
  <c r="AU176" i="1"/>
  <c r="I512" i="1"/>
  <c r="I312" i="1"/>
  <c r="I659" i="1"/>
  <c r="I472" i="1"/>
  <c r="I407" i="1"/>
  <c r="I718" i="1"/>
  <c r="I408" i="1"/>
  <c r="I548" i="1"/>
  <c r="I322" i="1"/>
  <c r="I660" i="1"/>
  <c r="I409" i="1"/>
  <c r="I692" i="1"/>
  <c r="I411" i="1"/>
  <c r="I641" i="1"/>
  <c r="I437" i="1"/>
  <c r="I473" i="1"/>
  <c r="I554" i="1"/>
  <c r="I331" i="1"/>
  <c r="I556" i="1"/>
  <c r="I335" i="1"/>
  <c r="I611" i="1"/>
  <c r="I338" i="1"/>
  <c r="I663" i="1"/>
  <c r="I416" i="1"/>
  <c r="I153" i="1"/>
  <c r="I344" i="1"/>
  <c r="I515" i="1"/>
  <c r="I348" i="1"/>
  <c r="I702" i="1"/>
  <c r="I417" i="1"/>
  <c r="I154" i="1"/>
  <c r="I583" i="1"/>
  <c r="I352" i="1"/>
  <c r="I500" i="1"/>
  <c r="I354" i="1"/>
  <c r="I214" i="1"/>
  <c r="I599" i="1"/>
  <c r="I356" i="1"/>
  <c r="I517" i="1"/>
  <c r="I359" i="1"/>
  <c r="I561" i="1"/>
  <c r="I362" i="1"/>
  <c r="I600" i="1"/>
  <c r="I365" i="1"/>
  <c r="I601" i="1"/>
  <c r="I369" i="1"/>
  <c r="I736" i="1"/>
  <c r="I425" i="1"/>
  <c r="I162" i="1"/>
  <c r="I724" i="1"/>
  <c r="I426" i="1"/>
  <c r="I163" i="1"/>
  <c r="I614" i="1"/>
  <c r="I375" i="1"/>
  <c r="I679" i="1"/>
  <c r="I445" i="1"/>
  <c r="I585" i="1"/>
  <c r="I379" i="1"/>
  <c r="I520" i="1"/>
  <c r="I380" i="1"/>
  <c r="I503" i="1"/>
  <c r="I383" i="1"/>
  <c r="I222" i="1"/>
  <c r="I587" i="1"/>
  <c r="I387" i="1"/>
  <c r="I568" i="1"/>
  <c r="I391" i="1"/>
  <c r="I570" i="1"/>
  <c r="I394" i="1"/>
  <c r="I682" i="1"/>
  <c r="I448" i="1"/>
  <c r="H178" i="1"/>
  <c r="H174" i="1"/>
  <c r="H179" i="1"/>
  <c r="H175" i="1"/>
  <c r="H456" i="1" s="1"/>
  <c r="L178" i="1"/>
  <c r="L174" i="1"/>
  <c r="L179" i="1"/>
  <c r="L175" i="1"/>
  <c r="L456" i="1" s="1"/>
  <c r="L463" i="1" s="1"/>
  <c r="P178" i="1"/>
  <c r="P174" i="1"/>
  <c r="P179" i="1"/>
  <c r="P175" i="1"/>
  <c r="P456" i="1" s="1"/>
  <c r="P463" i="1" s="1"/>
  <c r="T178" i="1"/>
  <c r="T174" i="1"/>
  <c r="T179" i="1"/>
  <c r="T175" i="1"/>
  <c r="T456" i="1" s="1"/>
  <c r="T463" i="1" s="1"/>
  <c r="X178" i="1"/>
  <c r="X174" i="1"/>
  <c r="X179" i="1"/>
  <c r="X175" i="1"/>
  <c r="X456" i="1" s="1"/>
  <c r="X463" i="1" s="1"/>
  <c r="AB178" i="1"/>
  <c r="AB174" i="1"/>
  <c r="AB179" i="1"/>
  <c r="AB175" i="1"/>
  <c r="AB456" i="1" s="1"/>
  <c r="AB463" i="1" s="1"/>
  <c r="AF178" i="1"/>
  <c r="AF174" i="1"/>
  <c r="AF179" i="1"/>
  <c r="AF175" i="1"/>
  <c r="AF456" i="1" s="1"/>
  <c r="AF463" i="1" s="1"/>
  <c r="AJ178" i="1"/>
  <c r="AJ174" i="1"/>
  <c r="AJ179" i="1"/>
  <c r="AJ175" i="1"/>
  <c r="AJ456" i="1" s="1"/>
  <c r="AJ463" i="1" s="1"/>
  <c r="AN178" i="1"/>
  <c r="AN174" i="1"/>
  <c r="AN179" i="1"/>
  <c r="AN175" i="1"/>
  <c r="AN456" i="1" s="1"/>
  <c r="AN463" i="1" s="1"/>
  <c r="AR178" i="1"/>
  <c r="AR174" i="1"/>
  <c r="AR179" i="1"/>
  <c r="AR175" i="1"/>
  <c r="AR456" i="1" s="1"/>
  <c r="AR463" i="1" s="1"/>
  <c r="AV178" i="1"/>
  <c r="AV174" i="1"/>
  <c r="AV179" i="1"/>
  <c r="AV175" i="1"/>
  <c r="AV456" i="1" s="1"/>
  <c r="AV463" i="1" s="1"/>
  <c r="K174" i="1"/>
  <c r="S174" i="1"/>
  <c r="AA174" i="1"/>
  <c r="AI174" i="1"/>
  <c r="AQ174" i="1"/>
  <c r="AY174" i="1"/>
  <c r="Q176" i="1"/>
  <c r="Y176" i="1"/>
  <c r="AG176" i="1"/>
  <c r="AO176" i="1"/>
  <c r="AW176" i="1"/>
  <c r="L177" i="1"/>
  <c r="T177" i="1"/>
  <c r="AB177" i="1"/>
  <c r="AJ177" i="1"/>
  <c r="AR177" i="1"/>
  <c r="G178" i="1"/>
  <c r="O178" i="1"/>
  <c r="W178" i="1"/>
  <c r="AE178" i="1"/>
  <c r="AM178" i="1"/>
  <c r="AU178" i="1"/>
  <c r="M196" i="1"/>
  <c r="U196" i="1"/>
  <c r="AC196" i="1"/>
  <c r="AK196" i="1"/>
  <c r="AS196" i="1"/>
  <c r="N199" i="1"/>
  <c r="V199" i="1"/>
  <c r="AD199" i="1"/>
  <c r="AL199" i="1"/>
  <c r="AT199" i="1"/>
  <c r="Q200" i="1"/>
  <c r="Y200" i="1"/>
  <c r="AG200" i="1"/>
  <c r="AO200" i="1"/>
  <c r="AW200" i="1"/>
  <c r="H229" i="1"/>
  <c r="H225" i="1"/>
  <c r="H230" i="1"/>
  <c r="H226" i="1"/>
  <c r="H458" i="1" s="1"/>
  <c r="L227" i="1"/>
  <c r="T227" i="1"/>
  <c r="AB227" i="1"/>
  <c r="AJ227" i="1"/>
  <c r="AR227" i="1"/>
  <c r="G228" i="1"/>
  <c r="O228" i="1"/>
  <c r="W228" i="1"/>
  <c r="AE228" i="1"/>
  <c r="AM228" i="1"/>
  <c r="AU228" i="1"/>
  <c r="U305" i="1"/>
  <c r="AK305" i="1"/>
  <c r="K400" i="1"/>
  <c r="K402" i="1"/>
  <c r="K398" i="1"/>
  <c r="K460" i="1" s="1"/>
  <c r="K401" i="1"/>
  <c r="K397" i="1"/>
  <c r="K399" i="1"/>
  <c r="O400" i="1"/>
  <c r="O402" i="1"/>
  <c r="O398" i="1"/>
  <c r="O460" i="1" s="1"/>
  <c r="O401" i="1"/>
  <c r="O397" i="1"/>
  <c r="O399" i="1"/>
  <c r="S400" i="1"/>
  <c r="S402" i="1"/>
  <c r="S398" i="1"/>
  <c r="S460" i="1" s="1"/>
  <c r="S401" i="1"/>
  <c r="S397" i="1"/>
  <c r="S399" i="1"/>
  <c r="W400" i="1"/>
  <c r="W402" i="1"/>
  <c r="W398" i="1"/>
  <c r="W460" i="1" s="1"/>
  <c r="W401" i="1"/>
  <c r="W397" i="1"/>
  <c r="W399" i="1"/>
  <c r="AA400" i="1"/>
  <c r="AA402" i="1"/>
  <c r="AA398" i="1"/>
  <c r="AA460" i="1" s="1"/>
  <c r="AA401" i="1"/>
  <c r="AA397" i="1"/>
  <c r="AA399" i="1"/>
  <c r="AE400" i="1"/>
  <c r="AE402" i="1"/>
  <c r="AE398" i="1"/>
  <c r="AE460" i="1" s="1"/>
  <c r="AE401" i="1"/>
  <c r="AE397" i="1"/>
  <c r="AE399" i="1"/>
  <c r="AI400" i="1"/>
  <c r="AI402" i="1"/>
  <c r="AI398" i="1"/>
  <c r="AI460" i="1" s="1"/>
  <c r="AI401" i="1"/>
  <c r="AI397" i="1"/>
  <c r="AI399" i="1"/>
  <c r="AM400" i="1"/>
  <c r="AM402" i="1"/>
  <c r="AM398" i="1"/>
  <c r="AM460" i="1" s="1"/>
  <c r="AM401" i="1"/>
  <c r="AM397" i="1"/>
  <c r="AM399" i="1"/>
  <c r="AQ400" i="1"/>
  <c r="AQ402" i="1"/>
  <c r="AQ398" i="1"/>
  <c r="AQ460" i="1" s="1"/>
  <c r="AQ401" i="1"/>
  <c r="AQ397" i="1"/>
  <c r="AQ399" i="1"/>
  <c r="AU400" i="1"/>
  <c r="AU402" i="1"/>
  <c r="AU398" i="1"/>
  <c r="AU460" i="1" s="1"/>
  <c r="AU401" i="1"/>
  <c r="AU397" i="1"/>
  <c r="AU399" i="1"/>
  <c r="AY400" i="1"/>
  <c r="AY402" i="1"/>
  <c r="AY398" i="1"/>
  <c r="AY460" i="1" s="1"/>
  <c r="AY401" i="1"/>
  <c r="AY397" i="1"/>
  <c r="AY399" i="1"/>
  <c r="I691" i="1"/>
  <c r="I410" i="1"/>
  <c r="I704" i="1"/>
  <c r="I420" i="1"/>
  <c r="I705" i="1"/>
  <c r="I421" i="1"/>
  <c r="I723" i="1"/>
  <c r="I422" i="1"/>
  <c r="I706" i="1"/>
  <c r="I424" i="1"/>
  <c r="I648" i="1"/>
  <c r="I444" i="1"/>
  <c r="I708" i="1"/>
  <c r="I429" i="1"/>
  <c r="I667" i="1"/>
  <c r="I432" i="1"/>
  <c r="I726" i="1"/>
  <c r="I433" i="1"/>
  <c r="I522" i="1"/>
  <c r="I386" i="1"/>
  <c r="I567" i="1"/>
  <c r="I390" i="1"/>
  <c r="I632" i="1"/>
  <c r="I393" i="1"/>
  <c r="I693" i="1"/>
  <c r="I395" i="1"/>
  <c r="J177" i="1"/>
  <c r="N177" i="1"/>
  <c r="R177" i="1"/>
  <c r="V177" i="1"/>
  <c r="Z177" i="1"/>
  <c r="AD177" i="1"/>
  <c r="AH177" i="1"/>
  <c r="AL177" i="1"/>
  <c r="AP177" i="1"/>
  <c r="AT177" i="1"/>
  <c r="AX177" i="1"/>
  <c r="G196" i="1"/>
  <c r="K196" i="1"/>
  <c r="O196" i="1"/>
  <c r="S196" i="1"/>
  <c r="W196" i="1"/>
  <c r="AA196" i="1"/>
  <c r="AE196" i="1"/>
  <c r="AI196" i="1"/>
  <c r="AM196" i="1"/>
  <c r="AQ196" i="1"/>
  <c r="AU196" i="1"/>
  <c r="AY196" i="1"/>
  <c r="H199" i="1"/>
  <c r="L199" i="1"/>
  <c r="P199" i="1"/>
  <c r="T199" i="1"/>
  <c r="X199" i="1"/>
  <c r="AB199" i="1"/>
  <c r="AF199" i="1"/>
  <c r="AJ199" i="1"/>
  <c r="AN199" i="1"/>
  <c r="AR199" i="1"/>
  <c r="AV199" i="1"/>
  <c r="G200" i="1"/>
  <c r="K200" i="1"/>
  <c r="O200" i="1"/>
  <c r="S200" i="1"/>
  <c r="W200" i="1"/>
  <c r="AA200" i="1"/>
  <c r="AE200" i="1"/>
  <c r="AI200" i="1"/>
  <c r="AM200" i="1"/>
  <c r="AQ200" i="1"/>
  <c r="AU200" i="1"/>
  <c r="AY200" i="1"/>
  <c r="M225" i="1"/>
  <c r="Q225" i="1"/>
  <c r="U225" i="1"/>
  <c r="Y225" i="1"/>
  <c r="AC225" i="1"/>
  <c r="AG225" i="1"/>
  <c r="AK225" i="1"/>
  <c r="AO225" i="1"/>
  <c r="AS225" i="1"/>
  <c r="AW225" i="1"/>
  <c r="J228" i="1"/>
  <c r="N228" i="1"/>
  <c r="R228" i="1"/>
  <c r="V228" i="1"/>
  <c r="Z228" i="1"/>
  <c r="AD228" i="1"/>
  <c r="AH228" i="1"/>
  <c r="AL228" i="1"/>
  <c r="AP228" i="1"/>
  <c r="AT228" i="1"/>
  <c r="AX228" i="1"/>
  <c r="M229" i="1"/>
  <c r="Q229" i="1"/>
  <c r="U229" i="1"/>
  <c r="Y229" i="1"/>
  <c r="AC229" i="1"/>
  <c r="AG229" i="1"/>
  <c r="AK229" i="1"/>
  <c r="AO229" i="1"/>
  <c r="AS229" i="1"/>
  <c r="AW229" i="1"/>
  <c r="G302" i="1"/>
  <c r="K302" i="1"/>
  <c r="O302" i="1"/>
  <c r="S302" i="1"/>
  <c r="W302" i="1"/>
  <c r="AA302" i="1"/>
  <c r="AE302" i="1"/>
  <c r="AI302" i="1"/>
  <c r="AM302" i="1"/>
  <c r="AQ302" i="1"/>
  <c r="AU302" i="1"/>
  <c r="AY302" i="1"/>
  <c r="H305" i="1"/>
  <c r="L305" i="1"/>
  <c r="P305" i="1"/>
  <c r="T305" i="1"/>
  <c r="X305" i="1"/>
  <c r="AB305" i="1"/>
  <c r="AF305" i="1"/>
  <c r="AJ305" i="1"/>
  <c r="AN305" i="1"/>
  <c r="AR305" i="1"/>
  <c r="AV305" i="1"/>
  <c r="G306" i="1"/>
  <c r="K306" i="1"/>
  <c r="O306" i="1"/>
  <c r="S306" i="1"/>
  <c r="W306" i="1"/>
  <c r="AA306" i="1"/>
  <c r="AE306" i="1"/>
  <c r="AI306" i="1"/>
  <c r="AM306" i="1"/>
  <c r="AQ306" i="1"/>
  <c r="AU306" i="1"/>
  <c r="AY306" i="1"/>
  <c r="J401" i="1"/>
  <c r="J397" i="1"/>
  <c r="J399" i="1"/>
  <c r="J402" i="1"/>
  <c r="J398" i="1"/>
  <c r="J460" i="1" s="1"/>
  <c r="N401" i="1"/>
  <c r="N397" i="1"/>
  <c r="N399" i="1"/>
  <c r="N402" i="1"/>
  <c r="N398" i="1"/>
  <c r="N460" i="1" s="1"/>
  <c r="R401" i="1"/>
  <c r="R397" i="1"/>
  <c r="R399" i="1"/>
  <c r="R402" i="1"/>
  <c r="R398" i="1"/>
  <c r="R460" i="1" s="1"/>
  <c r="V401" i="1"/>
  <c r="V397" i="1"/>
  <c r="V399" i="1"/>
  <c r="V402" i="1"/>
  <c r="V398" i="1"/>
  <c r="V460" i="1" s="1"/>
  <c r="Z401" i="1"/>
  <c r="Z397" i="1"/>
  <c r="Z399" i="1"/>
  <c r="Z402" i="1"/>
  <c r="Z398" i="1"/>
  <c r="Z460" i="1" s="1"/>
  <c r="AD401" i="1"/>
  <c r="AD397" i="1"/>
  <c r="AD399" i="1"/>
  <c r="AD402" i="1"/>
  <c r="AD398" i="1"/>
  <c r="AD460" i="1" s="1"/>
  <c r="AH401" i="1"/>
  <c r="AH397" i="1"/>
  <c r="AH399" i="1"/>
  <c r="AH402" i="1"/>
  <c r="AH398" i="1"/>
  <c r="AH460" i="1" s="1"/>
  <c r="AL401" i="1"/>
  <c r="AL397" i="1"/>
  <c r="AL399" i="1"/>
  <c r="AL402" i="1"/>
  <c r="AL398" i="1"/>
  <c r="AL460" i="1" s="1"/>
  <c r="AP401" i="1"/>
  <c r="AP397" i="1"/>
  <c r="AP399" i="1"/>
  <c r="AP402" i="1"/>
  <c r="AP398" i="1"/>
  <c r="AP460" i="1" s="1"/>
  <c r="AT401" i="1"/>
  <c r="AT397" i="1"/>
  <c r="AT399" i="1"/>
  <c r="AT402" i="1"/>
  <c r="AT398" i="1"/>
  <c r="AT460" i="1" s="1"/>
  <c r="AX401" i="1"/>
  <c r="AX397" i="1"/>
  <c r="AX399" i="1"/>
  <c r="AX402" i="1"/>
  <c r="AX398" i="1"/>
  <c r="AX460" i="1" s="1"/>
  <c r="Q397" i="1"/>
  <c r="AG397" i="1"/>
  <c r="AW397" i="1"/>
  <c r="T398" i="1"/>
  <c r="T460" i="1" s="1"/>
  <c r="AJ398" i="1"/>
  <c r="AJ460" i="1" s="1"/>
  <c r="J400" i="1"/>
  <c r="Z400" i="1"/>
  <c r="AP400" i="1"/>
  <c r="L453" i="1"/>
  <c r="L449" i="1"/>
  <c r="L451" i="1"/>
  <c r="L454" i="1"/>
  <c r="L450" i="1"/>
  <c r="L461" i="1" s="1"/>
  <c r="P453" i="1"/>
  <c r="P449" i="1"/>
  <c r="P451" i="1"/>
  <c r="P454" i="1"/>
  <c r="P450" i="1"/>
  <c r="P461" i="1" s="1"/>
  <c r="T453" i="1"/>
  <c r="T449" i="1"/>
  <c r="T451" i="1"/>
  <c r="T454" i="1"/>
  <c r="T450" i="1"/>
  <c r="T461" i="1" s="1"/>
  <c r="X453" i="1"/>
  <c r="X449" i="1"/>
  <c r="X451" i="1"/>
  <c r="X454" i="1"/>
  <c r="X450" i="1"/>
  <c r="X461" i="1" s="1"/>
  <c r="AB453" i="1"/>
  <c r="AB449" i="1"/>
  <c r="AB451" i="1"/>
  <c r="AB454" i="1"/>
  <c r="AB450" i="1"/>
  <c r="AB461" i="1" s="1"/>
  <c r="AF453" i="1"/>
  <c r="AF449" i="1"/>
  <c r="AF451" i="1"/>
  <c r="AF454" i="1"/>
  <c r="AF450" i="1"/>
  <c r="AF461" i="1" s="1"/>
  <c r="AJ453" i="1"/>
  <c r="AJ449" i="1"/>
  <c r="AJ451" i="1"/>
  <c r="AJ454" i="1"/>
  <c r="AJ450" i="1"/>
  <c r="AJ461" i="1" s="1"/>
  <c r="AN453" i="1"/>
  <c r="AN449" i="1"/>
  <c r="AN451" i="1"/>
  <c r="AN454" i="1"/>
  <c r="AN450" i="1"/>
  <c r="AN461" i="1" s="1"/>
  <c r="AR453" i="1"/>
  <c r="AR449" i="1"/>
  <c r="AR451" i="1"/>
  <c r="AR454" i="1"/>
  <c r="AR450" i="1"/>
  <c r="AR461" i="1" s="1"/>
  <c r="AV453" i="1"/>
  <c r="AV449" i="1"/>
  <c r="AV451" i="1"/>
  <c r="AV454" i="1"/>
  <c r="AV450" i="1"/>
  <c r="AV461" i="1" s="1"/>
  <c r="T452" i="1"/>
  <c r="AJ452" i="1"/>
  <c r="AP476" i="1"/>
  <c r="N400" i="1"/>
  <c r="AD400" i="1"/>
  <c r="AT400" i="1"/>
  <c r="H453" i="1"/>
  <c r="H449" i="1"/>
  <c r="H451" i="1"/>
  <c r="H454" i="1"/>
  <c r="H450" i="1"/>
  <c r="H461" i="1" s="1"/>
  <c r="H452" i="1"/>
  <c r="X452" i="1"/>
  <c r="AN452" i="1"/>
  <c r="L468" i="1"/>
  <c r="L477" i="1"/>
  <c r="P477" i="1"/>
  <c r="P468" i="1"/>
  <c r="T468" i="1"/>
  <c r="T477" i="1"/>
  <c r="X477" i="1"/>
  <c r="X468" i="1"/>
  <c r="AB468" i="1"/>
  <c r="AB477" i="1"/>
  <c r="AF477" i="1"/>
  <c r="AF468" i="1"/>
  <c r="AJ468" i="1"/>
  <c r="AJ477" i="1"/>
  <c r="AN477" i="1"/>
  <c r="AN468" i="1"/>
  <c r="AR468" i="1"/>
  <c r="AR477" i="1"/>
  <c r="AV477" i="1"/>
  <c r="AV468" i="1"/>
  <c r="AX476" i="1"/>
  <c r="H399" i="1"/>
  <c r="H401" i="1"/>
  <c r="H397" i="1"/>
  <c r="H400" i="1"/>
  <c r="L399" i="1"/>
  <c r="L401" i="1"/>
  <c r="L397" i="1"/>
  <c r="L400" i="1"/>
  <c r="P399" i="1"/>
  <c r="P401" i="1"/>
  <c r="P397" i="1"/>
  <c r="P400" i="1"/>
  <c r="T399" i="1"/>
  <c r="T401" i="1"/>
  <c r="T397" i="1"/>
  <c r="T400" i="1"/>
  <c r="X399" i="1"/>
  <c r="X401" i="1"/>
  <c r="X397" i="1"/>
  <c r="X400" i="1"/>
  <c r="AB399" i="1"/>
  <c r="AB401" i="1"/>
  <c r="AB397" i="1"/>
  <c r="AB400" i="1"/>
  <c r="AF399" i="1"/>
  <c r="AF401" i="1"/>
  <c r="AF397" i="1"/>
  <c r="AF400" i="1"/>
  <c r="AJ399" i="1"/>
  <c r="AJ401" i="1"/>
  <c r="AJ397" i="1"/>
  <c r="AJ400" i="1"/>
  <c r="AN399" i="1"/>
  <c r="AN401" i="1"/>
  <c r="AN397" i="1"/>
  <c r="AN400" i="1"/>
  <c r="AR399" i="1"/>
  <c r="AR401" i="1"/>
  <c r="AR397" i="1"/>
  <c r="AR400" i="1"/>
  <c r="AV399" i="1"/>
  <c r="AV401" i="1"/>
  <c r="AV397" i="1"/>
  <c r="AV400" i="1"/>
  <c r="L398" i="1"/>
  <c r="L460" i="1" s="1"/>
  <c r="AB398" i="1"/>
  <c r="AB460" i="1" s="1"/>
  <c r="AR398" i="1"/>
  <c r="AR460" i="1" s="1"/>
  <c r="H402" i="1"/>
  <c r="X402" i="1"/>
  <c r="AN402" i="1"/>
  <c r="H477" i="1"/>
  <c r="H468" i="1"/>
  <c r="H471" i="1"/>
  <c r="I157" i="1"/>
  <c r="I158" i="1"/>
  <c r="I159" i="1"/>
  <c r="I161" i="1"/>
  <c r="I166" i="1"/>
  <c r="I169" i="1"/>
  <c r="I170" i="1"/>
  <c r="I210" i="1"/>
  <c r="I216" i="1"/>
  <c r="I224" i="1"/>
  <c r="M402" i="1"/>
  <c r="M398" i="1"/>
  <c r="M460" i="1" s="1"/>
  <c r="M400" i="1"/>
  <c r="M399" i="1"/>
  <c r="Q402" i="1"/>
  <c r="Q398" i="1"/>
  <c r="Q460" i="1" s="1"/>
  <c r="Q400" i="1"/>
  <c r="Q399" i="1"/>
  <c r="U402" i="1"/>
  <c r="U398" i="1"/>
  <c r="U460" i="1" s="1"/>
  <c r="U400" i="1"/>
  <c r="U399" i="1"/>
  <c r="Y402" i="1"/>
  <c r="Y398" i="1"/>
  <c r="Y460" i="1" s="1"/>
  <c r="Y400" i="1"/>
  <c r="Y399" i="1"/>
  <c r="AC402" i="1"/>
  <c r="AC398" i="1"/>
  <c r="AC460" i="1" s="1"/>
  <c r="AC400" i="1"/>
  <c r="AC399" i="1"/>
  <c r="AG402" i="1"/>
  <c r="AG398" i="1"/>
  <c r="AG460" i="1" s="1"/>
  <c r="AG400" i="1"/>
  <c r="AG399" i="1"/>
  <c r="AK402" i="1"/>
  <c r="AK398" i="1"/>
  <c r="AK460" i="1" s="1"/>
  <c r="AK400" i="1"/>
  <c r="AK399" i="1"/>
  <c r="AO402" i="1"/>
  <c r="AO398" i="1"/>
  <c r="AO460" i="1" s="1"/>
  <c r="AO400" i="1"/>
  <c r="AO399" i="1"/>
  <c r="AS402" i="1"/>
  <c r="AS398" i="1"/>
  <c r="AS460" i="1" s="1"/>
  <c r="AS400" i="1"/>
  <c r="AS399" i="1"/>
  <c r="AW402" i="1"/>
  <c r="AW398" i="1"/>
  <c r="AW460" i="1" s="1"/>
  <c r="AW400" i="1"/>
  <c r="AW399" i="1"/>
  <c r="I328" i="1"/>
  <c r="I330" i="1"/>
  <c r="I334" i="1"/>
  <c r="I337" i="1"/>
  <c r="I340" i="1"/>
  <c r="I343" i="1"/>
  <c r="I347" i="1"/>
  <c r="I350" i="1"/>
  <c r="I351" i="1"/>
  <c r="I361" i="1"/>
  <c r="I364" i="1"/>
  <c r="I368" i="1"/>
  <c r="I373" i="1"/>
  <c r="I378" i="1"/>
  <c r="M397" i="1"/>
  <c r="AC397" i="1"/>
  <c r="AS397" i="1"/>
  <c r="P398" i="1"/>
  <c r="P460" i="1" s="1"/>
  <c r="AF398" i="1"/>
  <c r="AF460" i="1" s="1"/>
  <c r="AV398" i="1"/>
  <c r="AV460" i="1" s="1"/>
  <c r="V400" i="1"/>
  <c r="AL400" i="1"/>
  <c r="Y401" i="1"/>
  <c r="AO401" i="1"/>
  <c r="L402" i="1"/>
  <c r="AB402" i="1"/>
  <c r="AR402" i="1"/>
  <c r="P452" i="1"/>
  <c r="AF452" i="1"/>
  <c r="AV452" i="1"/>
  <c r="AH476" i="1"/>
  <c r="AH468" i="1"/>
  <c r="AL468" i="1"/>
  <c r="AL476" i="1"/>
  <c r="AT468" i="1"/>
  <c r="AT476" i="1"/>
  <c r="D494" i="1"/>
  <c r="M449" i="1"/>
  <c r="Q449" i="1"/>
  <c r="U449" i="1"/>
  <c r="Y449" i="1"/>
  <c r="AC449" i="1"/>
  <c r="AG449" i="1"/>
  <c r="AK449" i="1"/>
  <c r="AO449" i="1"/>
  <c r="AS449" i="1"/>
  <c r="AW449" i="1"/>
  <c r="G451" i="1"/>
  <c r="K451" i="1"/>
  <c r="O451" i="1"/>
  <c r="S451" i="1"/>
  <c r="W451" i="1"/>
  <c r="AA451" i="1"/>
  <c r="AE451" i="1"/>
  <c r="AI451" i="1"/>
  <c r="AM451" i="1"/>
  <c r="AQ451" i="1"/>
  <c r="AU451" i="1"/>
  <c r="AY451" i="1"/>
  <c r="J452" i="1"/>
  <c r="N452" i="1"/>
  <c r="R452" i="1"/>
  <c r="V452" i="1"/>
  <c r="Z452" i="1"/>
  <c r="AD452" i="1"/>
  <c r="AH452" i="1"/>
  <c r="AL452" i="1"/>
  <c r="AP452" i="1"/>
  <c r="AT452" i="1"/>
  <c r="AX452" i="1"/>
  <c r="M453" i="1"/>
  <c r="Q453" i="1"/>
  <c r="U453" i="1"/>
  <c r="Y453" i="1"/>
  <c r="AC453" i="1"/>
  <c r="AG453" i="1"/>
  <c r="AK453" i="1"/>
  <c r="AO453" i="1"/>
  <c r="AS453" i="1"/>
  <c r="AW453" i="1"/>
  <c r="Q468" i="1"/>
  <c r="Y468" i="1"/>
  <c r="AG468" i="1"/>
  <c r="AO468" i="1"/>
  <c r="J449" i="1"/>
  <c r="N449" i="1"/>
  <c r="R449" i="1"/>
  <c r="V449" i="1"/>
  <c r="Z449" i="1"/>
  <c r="AD449" i="1"/>
  <c r="AH449" i="1"/>
  <c r="AL449" i="1"/>
  <c r="AP449" i="1"/>
  <c r="AT449" i="1"/>
  <c r="AX449" i="1"/>
  <c r="M450" i="1"/>
  <c r="M461" i="1" s="1"/>
  <c r="Q450" i="1"/>
  <c r="Q461" i="1" s="1"/>
  <c r="U450" i="1"/>
  <c r="U461" i="1" s="1"/>
  <c r="Y450" i="1"/>
  <c r="Y461" i="1" s="1"/>
  <c r="AC450" i="1"/>
  <c r="AC461" i="1" s="1"/>
  <c r="AG450" i="1"/>
  <c r="AG461" i="1" s="1"/>
  <c r="AK450" i="1"/>
  <c r="AK461" i="1" s="1"/>
  <c r="AO450" i="1"/>
  <c r="AO461" i="1" s="1"/>
  <c r="AS450" i="1"/>
  <c r="AS461" i="1" s="1"/>
  <c r="AW450" i="1"/>
  <c r="AW461" i="1" s="1"/>
  <c r="G452" i="1"/>
  <c r="K452" i="1"/>
  <c r="O452" i="1"/>
  <c r="S452" i="1"/>
  <c r="W452" i="1"/>
  <c r="AA452" i="1"/>
  <c r="AE452" i="1"/>
  <c r="AI452" i="1"/>
  <c r="AM452" i="1"/>
  <c r="AQ452" i="1"/>
  <c r="AU452" i="1"/>
  <c r="AY452" i="1"/>
  <c r="J453" i="1"/>
  <c r="N453" i="1"/>
  <c r="R453" i="1"/>
  <c r="V453" i="1"/>
  <c r="Z453" i="1"/>
  <c r="AD453" i="1"/>
  <c r="AH453" i="1"/>
  <c r="AL453" i="1"/>
  <c r="AP453" i="1"/>
  <c r="AT453" i="1"/>
  <c r="AX453" i="1"/>
  <c r="M454" i="1"/>
  <c r="Q454" i="1"/>
  <c r="U454" i="1"/>
  <c r="Y454" i="1"/>
  <c r="AC454" i="1"/>
  <c r="AG454" i="1"/>
  <c r="AK454" i="1"/>
  <c r="AO454" i="1"/>
  <c r="AS454" i="1"/>
  <c r="AW454" i="1"/>
  <c r="J468" i="1"/>
  <c r="N468" i="1"/>
  <c r="R468" i="1"/>
  <c r="V468" i="1"/>
  <c r="Z468" i="1"/>
  <c r="G477" i="1"/>
  <c r="K477" i="1"/>
  <c r="O477" i="1"/>
  <c r="S477" i="1"/>
  <c r="W477" i="1"/>
  <c r="AA477" i="1"/>
  <c r="AE477" i="1"/>
  <c r="AI477" i="1"/>
  <c r="AM477" i="1"/>
  <c r="AQ477" i="1"/>
  <c r="AU477" i="1"/>
  <c r="AY477" i="1"/>
  <c r="N525" i="1"/>
  <c r="N480" i="1" s="1"/>
  <c r="V525" i="1"/>
  <c r="V480" i="1" s="1"/>
  <c r="Z529" i="1"/>
  <c r="AH529" i="1"/>
  <c r="AT525" i="1"/>
  <c r="AT480" i="1" s="1"/>
  <c r="G450" i="1"/>
  <c r="G461" i="1" s="1"/>
  <c r="K450" i="1"/>
  <c r="K461" i="1" s="1"/>
  <c r="O450" i="1"/>
  <c r="O461" i="1" s="1"/>
  <c r="S450" i="1"/>
  <c r="S461" i="1" s="1"/>
  <c r="W450" i="1"/>
  <c r="W461" i="1" s="1"/>
  <c r="AA450" i="1"/>
  <c r="AA461" i="1" s="1"/>
  <c r="AE450" i="1"/>
  <c r="AE461" i="1" s="1"/>
  <c r="AI450" i="1"/>
  <c r="AI461" i="1" s="1"/>
  <c r="AM450" i="1"/>
  <c r="AM461" i="1" s="1"/>
  <c r="AQ450" i="1"/>
  <c r="AQ461" i="1" s="1"/>
  <c r="AU450" i="1"/>
  <c r="AU461" i="1" s="1"/>
  <c r="AY450" i="1"/>
  <c r="AY461" i="1" s="1"/>
  <c r="J506" i="1"/>
  <c r="J508" i="1"/>
  <c r="J504" i="1"/>
  <c r="J507" i="1"/>
  <c r="J509" i="1"/>
  <c r="N506" i="1"/>
  <c r="N508" i="1"/>
  <c r="N504" i="1"/>
  <c r="N507" i="1"/>
  <c r="N505" i="1"/>
  <c r="N479" i="1" s="1"/>
  <c r="N509" i="1"/>
  <c r="R506" i="1"/>
  <c r="R508" i="1"/>
  <c r="R504" i="1"/>
  <c r="R507" i="1"/>
  <c r="R509" i="1"/>
  <c r="R505" i="1"/>
  <c r="R479" i="1" s="1"/>
  <c r="V506" i="1"/>
  <c r="V508" i="1"/>
  <c r="V504" i="1"/>
  <c r="V507" i="1"/>
  <c r="V505" i="1"/>
  <c r="V479" i="1" s="1"/>
  <c r="Z506" i="1"/>
  <c r="Z508" i="1"/>
  <c r="Z504" i="1"/>
  <c r="Z507" i="1"/>
  <c r="Z509" i="1"/>
  <c r="AD506" i="1"/>
  <c r="AD508" i="1"/>
  <c r="AD504" i="1"/>
  <c r="AD507" i="1"/>
  <c r="AD505" i="1"/>
  <c r="AD479" i="1" s="1"/>
  <c r="AD509" i="1"/>
  <c r="AH506" i="1"/>
  <c r="AH508" i="1"/>
  <c r="AH504" i="1"/>
  <c r="AH507" i="1"/>
  <c r="AH509" i="1"/>
  <c r="AH505" i="1"/>
  <c r="AH479" i="1" s="1"/>
  <c r="AL506" i="1"/>
  <c r="AL508" i="1"/>
  <c r="AL504" i="1"/>
  <c r="AL507" i="1"/>
  <c r="AL505" i="1"/>
  <c r="AL479" i="1" s="1"/>
  <c r="AP506" i="1"/>
  <c r="AP508" i="1"/>
  <c r="AP504" i="1"/>
  <c r="AP507" i="1"/>
  <c r="AP509" i="1"/>
  <c r="AT506" i="1"/>
  <c r="AT508" i="1"/>
  <c r="AT504" i="1"/>
  <c r="AT507" i="1"/>
  <c r="AT505" i="1"/>
  <c r="AT479" i="1" s="1"/>
  <c r="AT509" i="1"/>
  <c r="AX506" i="1"/>
  <c r="AX508" i="1"/>
  <c r="AX504" i="1"/>
  <c r="AX507" i="1"/>
  <c r="AX509" i="1"/>
  <c r="AX505" i="1"/>
  <c r="AX479" i="1" s="1"/>
  <c r="J505" i="1"/>
  <c r="J479" i="1" s="1"/>
  <c r="AL509" i="1"/>
  <c r="H508" i="1"/>
  <c r="H504" i="1"/>
  <c r="H506" i="1"/>
  <c r="H509" i="1"/>
  <c r="H505" i="1"/>
  <c r="H479" i="1" s="1"/>
  <c r="L508" i="1"/>
  <c r="L504" i="1"/>
  <c r="L506" i="1"/>
  <c r="L509" i="1"/>
  <c r="L505" i="1"/>
  <c r="L479" i="1" s="1"/>
  <c r="P508" i="1"/>
  <c r="P504" i="1"/>
  <c r="P506" i="1"/>
  <c r="P509" i="1"/>
  <c r="P505" i="1"/>
  <c r="P479" i="1" s="1"/>
  <c r="T508" i="1"/>
  <c r="T504" i="1"/>
  <c r="T506" i="1"/>
  <c r="T509" i="1"/>
  <c r="T505" i="1"/>
  <c r="T479" i="1" s="1"/>
  <c r="X508" i="1"/>
  <c r="X504" i="1"/>
  <c r="X506" i="1"/>
  <c r="X509" i="1"/>
  <c r="X505" i="1"/>
  <c r="X479" i="1" s="1"/>
  <c r="AB508" i="1"/>
  <c r="AB504" i="1"/>
  <c r="AB506" i="1"/>
  <c r="AB509" i="1"/>
  <c r="AB505" i="1"/>
  <c r="AB479" i="1" s="1"/>
  <c r="AF508" i="1"/>
  <c r="AF504" i="1"/>
  <c r="AF506" i="1"/>
  <c r="AF509" i="1"/>
  <c r="AF505" i="1"/>
  <c r="AF479" i="1" s="1"/>
  <c r="AJ508" i="1"/>
  <c r="AJ504" i="1"/>
  <c r="AJ506" i="1"/>
  <c r="AJ509" i="1"/>
  <c r="AJ505" i="1"/>
  <c r="AJ479" i="1" s="1"/>
  <c r="AN508" i="1"/>
  <c r="AN504" i="1"/>
  <c r="AN506" i="1"/>
  <c r="AN509" i="1"/>
  <c r="AN505" i="1"/>
  <c r="AN479" i="1" s="1"/>
  <c r="AR508" i="1"/>
  <c r="AR504" i="1"/>
  <c r="AR506" i="1"/>
  <c r="AR509" i="1"/>
  <c r="AR505" i="1"/>
  <c r="AR479" i="1" s="1"/>
  <c r="AV508" i="1"/>
  <c r="AV504" i="1"/>
  <c r="AV506" i="1"/>
  <c r="AV509" i="1"/>
  <c r="AV505" i="1"/>
  <c r="AV479" i="1" s="1"/>
  <c r="H507" i="1"/>
  <c r="X507" i="1"/>
  <c r="AN507" i="1"/>
  <c r="M507" i="1"/>
  <c r="M509" i="1"/>
  <c r="M505" i="1"/>
  <c r="M479" i="1" s="1"/>
  <c r="M508" i="1"/>
  <c r="M504" i="1"/>
  <c r="Q507" i="1"/>
  <c r="Q509" i="1"/>
  <c r="Q505" i="1"/>
  <c r="Q479" i="1" s="1"/>
  <c r="Q508" i="1"/>
  <c r="Q504" i="1"/>
  <c r="U507" i="1"/>
  <c r="U509" i="1"/>
  <c r="U505" i="1"/>
  <c r="U479" i="1" s="1"/>
  <c r="U508" i="1"/>
  <c r="U504" i="1"/>
  <c r="Y507" i="1"/>
  <c r="Y509" i="1"/>
  <c r="Y505" i="1"/>
  <c r="Y479" i="1" s="1"/>
  <c r="Y508" i="1"/>
  <c r="Y504" i="1"/>
  <c r="Y506" i="1"/>
  <c r="L507" i="1"/>
  <c r="AB507" i="1"/>
  <c r="AR507" i="1"/>
  <c r="G524" i="1"/>
  <c r="T507" i="1"/>
  <c r="AJ507" i="1"/>
  <c r="J527" i="1"/>
  <c r="J526" i="1"/>
  <c r="J528" i="1"/>
  <c r="J524" i="1"/>
  <c r="J525" i="1"/>
  <c r="J480" i="1" s="1"/>
  <c r="N527" i="1"/>
  <c r="N526" i="1"/>
  <c r="N524" i="1"/>
  <c r="N528" i="1"/>
  <c r="N529" i="1"/>
  <c r="R527" i="1"/>
  <c r="R526" i="1"/>
  <c r="R528" i="1"/>
  <c r="R524" i="1"/>
  <c r="R525" i="1"/>
  <c r="R480" i="1" s="1"/>
  <c r="V527" i="1"/>
  <c r="V526" i="1"/>
  <c r="V524" i="1"/>
  <c r="V528" i="1"/>
  <c r="V529" i="1"/>
  <c r="Z527" i="1"/>
  <c r="Z526" i="1"/>
  <c r="Z528" i="1"/>
  <c r="Z524" i="1"/>
  <c r="Z525" i="1"/>
  <c r="Z480" i="1" s="1"/>
  <c r="AD527" i="1"/>
  <c r="AD526" i="1"/>
  <c r="AD524" i="1"/>
  <c r="AD528" i="1"/>
  <c r="AD529" i="1"/>
  <c r="AH527" i="1"/>
  <c r="AH526" i="1"/>
  <c r="AH528" i="1"/>
  <c r="AH524" i="1"/>
  <c r="AH525" i="1"/>
  <c r="AH480" i="1" s="1"/>
  <c r="AL527" i="1"/>
  <c r="AL526" i="1"/>
  <c r="AL524" i="1"/>
  <c r="AL528" i="1"/>
  <c r="AL529" i="1"/>
  <c r="AP527" i="1"/>
  <c r="AP526" i="1"/>
  <c r="AP528" i="1"/>
  <c r="AP524" i="1"/>
  <c r="AP525" i="1"/>
  <c r="AP480" i="1" s="1"/>
  <c r="AT527" i="1"/>
  <c r="AT526" i="1"/>
  <c r="AT524" i="1"/>
  <c r="AT528" i="1"/>
  <c r="AT529" i="1"/>
  <c r="AX527" i="1"/>
  <c r="AX526" i="1"/>
  <c r="AX528" i="1"/>
  <c r="AX524" i="1"/>
  <c r="AX525" i="1"/>
  <c r="AX480" i="1" s="1"/>
  <c r="AL525" i="1"/>
  <c r="AL480" i="1" s="1"/>
  <c r="R529" i="1"/>
  <c r="AX529" i="1"/>
  <c r="AC504" i="1"/>
  <c r="AG504" i="1"/>
  <c r="AK504" i="1"/>
  <c r="AO504" i="1"/>
  <c r="AS504" i="1"/>
  <c r="AW504" i="1"/>
  <c r="G506" i="1"/>
  <c r="K506" i="1"/>
  <c r="O506" i="1"/>
  <c r="S506" i="1"/>
  <c r="W506" i="1"/>
  <c r="AA506" i="1"/>
  <c r="AE506" i="1"/>
  <c r="AI506" i="1"/>
  <c r="AM506" i="1"/>
  <c r="AQ506" i="1"/>
  <c r="AU506" i="1"/>
  <c r="AY506" i="1"/>
  <c r="AC508" i="1"/>
  <c r="AG508" i="1"/>
  <c r="AK508" i="1"/>
  <c r="AO508" i="1"/>
  <c r="AS508" i="1"/>
  <c r="AW508" i="1"/>
  <c r="H529" i="1"/>
  <c r="H525" i="1"/>
  <c r="H480" i="1" s="1"/>
  <c r="H528" i="1"/>
  <c r="H524" i="1"/>
  <c r="L529" i="1"/>
  <c r="L525" i="1"/>
  <c r="L480" i="1" s="1"/>
  <c r="L528" i="1"/>
  <c r="L524" i="1"/>
  <c r="P529" i="1"/>
  <c r="P525" i="1"/>
  <c r="P480" i="1" s="1"/>
  <c r="P528" i="1"/>
  <c r="P524" i="1"/>
  <c r="T529" i="1"/>
  <c r="T525" i="1"/>
  <c r="T480" i="1" s="1"/>
  <c r="T528" i="1"/>
  <c r="T524" i="1"/>
  <c r="X529" i="1"/>
  <c r="X525" i="1"/>
  <c r="X480" i="1" s="1"/>
  <c r="X528" i="1"/>
  <c r="X524" i="1"/>
  <c r="AB529" i="1"/>
  <c r="AB525" i="1"/>
  <c r="AB480" i="1" s="1"/>
  <c r="AB528" i="1"/>
  <c r="AB524" i="1"/>
  <c r="AF529" i="1"/>
  <c r="AF525" i="1"/>
  <c r="AF480" i="1" s="1"/>
  <c r="AF528" i="1"/>
  <c r="AF524" i="1"/>
  <c r="AJ529" i="1"/>
  <c r="AJ525" i="1"/>
  <c r="AJ480" i="1" s="1"/>
  <c r="AJ528" i="1"/>
  <c r="AJ524" i="1"/>
  <c r="AN529" i="1"/>
  <c r="AN525" i="1"/>
  <c r="AN480" i="1" s="1"/>
  <c r="AN528" i="1"/>
  <c r="AN524" i="1"/>
  <c r="AR529" i="1"/>
  <c r="AR525" i="1"/>
  <c r="AR480" i="1" s="1"/>
  <c r="AR528" i="1"/>
  <c r="AR524" i="1"/>
  <c r="AV529" i="1"/>
  <c r="AV525" i="1"/>
  <c r="AV480" i="1" s="1"/>
  <c r="AV528" i="1"/>
  <c r="AV524" i="1"/>
  <c r="H527" i="1"/>
  <c r="P527" i="1"/>
  <c r="X527" i="1"/>
  <c r="AF527" i="1"/>
  <c r="AN527" i="1"/>
  <c r="AV527" i="1"/>
  <c r="K528" i="1"/>
  <c r="S528" i="1"/>
  <c r="AA528" i="1"/>
  <c r="AI528" i="1"/>
  <c r="AQ528" i="1"/>
  <c r="AY528" i="1"/>
  <c r="M543" i="1"/>
  <c r="M540" i="1"/>
  <c r="M539" i="1"/>
  <c r="M481" i="1" s="1"/>
  <c r="Q540" i="1"/>
  <c r="Q543" i="1"/>
  <c r="Q539" i="1"/>
  <c r="Q481" i="1" s="1"/>
  <c r="U540" i="1"/>
  <c r="U539" i="1"/>
  <c r="U481" i="1" s="1"/>
  <c r="Y540" i="1"/>
  <c r="Y539" i="1"/>
  <c r="Y481" i="1" s="1"/>
  <c r="AC543" i="1"/>
  <c r="AC540" i="1"/>
  <c r="AC539" i="1"/>
  <c r="AC481" i="1" s="1"/>
  <c r="AG540" i="1"/>
  <c r="AG543" i="1"/>
  <c r="AG539" i="1"/>
  <c r="AG481" i="1" s="1"/>
  <c r="AK540" i="1"/>
  <c r="AK539" i="1"/>
  <c r="AK481" i="1" s="1"/>
  <c r="AO540" i="1"/>
  <c r="AO539" i="1"/>
  <c r="AO481" i="1" s="1"/>
  <c r="AS543" i="1"/>
  <c r="AS540" i="1"/>
  <c r="AS539" i="1"/>
  <c r="AS481" i="1" s="1"/>
  <c r="AW540" i="1"/>
  <c r="AW543" i="1"/>
  <c r="AW539" i="1"/>
  <c r="AW481" i="1" s="1"/>
  <c r="Q538" i="1"/>
  <c r="Y538" i="1"/>
  <c r="AG538" i="1"/>
  <c r="AO538" i="1"/>
  <c r="AW538" i="1"/>
  <c r="M542" i="1"/>
  <c r="U542" i="1"/>
  <c r="AC542" i="1"/>
  <c r="AK542" i="1"/>
  <c r="AS542" i="1"/>
  <c r="U543" i="1"/>
  <c r="M576" i="1"/>
  <c r="M572" i="1"/>
  <c r="M482" i="1" s="1"/>
  <c r="M575" i="1"/>
  <c r="M571" i="1"/>
  <c r="M574" i="1"/>
  <c r="M573" i="1"/>
  <c r="Q576" i="1"/>
  <c r="Q572" i="1"/>
  <c r="Q482" i="1" s="1"/>
  <c r="Q575" i="1"/>
  <c r="Q571" i="1"/>
  <c r="Q573" i="1"/>
  <c r="Q574" i="1"/>
  <c r="U576" i="1"/>
  <c r="U572" i="1"/>
  <c r="U482" i="1" s="1"/>
  <c r="U575" i="1"/>
  <c r="U571" i="1"/>
  <c r="U574" i="1"/>
  <c r="U573" i="1"/>
  <c r="Y576" i="1"/>
  <c r="Y572" i="1"/>
  <c r="Y482" i="1" s="1"/>
  <c r="Y575" i="1"/>
  <c r="Y571" i="1"/>
  <c r="Y573" i="1"/>
  <c r="Y574" i="1"/>
  <c r="AC576" i="1"/>
  <c r="AC572" i="1"/>
  <c r="AC482" i="1" s="1"/>
  <c r="AC575" i="1"/>
  <c r="AC571" i="1"/>
  <c r="AC574" i="1"/>
  <c r="AC573" i="1"/>
  <c r="AG576" i="1"/>
  <c r="AG572" i="1"/>
  <c r="AG482" i="1" s="1"/>
  <c r="AG575" i="1"/>
  <c r="AG571" i="1"/>
  <c r="AG573" i="1"/>
  <c r="AG574" i="1"/>
  <c r="AK576" i="1"/>
  <c r="AK572" i="1"/>
  <c r="AK482" i="1" s="1"/>
  <c r="AK575" i="1"/>
  <c r="AK571" i="1"/>
  <c r="AK574" i="1"/>
  <c r="AK573" i="1"/>
  <c r="AO576" i="1"/>
  <c r="AO572" i="1"/>
  <c r="AO482" i="1" s="1"/>
  <c r="AO575" i="1"/>
  <c r="AO571" i="1"/>
  <c r="AO573" i="1"/>
  <c r="AO574" i="1"/>
  <c r="AS576" i="1"/>
  <c r="AS572" i="1"/>
  <c r="AS482" i="1" s="1"/>
  <c r="AS575" i="1"/>
  <c r="AS571" i="1"/>
  <c r="AS574" i="1"/>
  <c r="AS573" i="1"/>
  <c r="AW576" i="1"/>
  <c r="AW572" i="1"/>
  <c r="AW482" i="1" s="1"/>
  <c r="AW575" i="1"/>
  <c r="AW571" i="1"/>
  <c r="AW573" i="1"/>
  <c r="AW574" i="1"/>
  <c r="AC505" i="1"/>
  <c r="AC479" i="1" s="1"/>
  <c r="AG505" i="1"/>
  <c r="AG479" i="1" s="1"/>
  <c r="AK505" i="1"/>
  <c r="AK479" i="1" s="1"/>
  <c r="AO505" i="1"/>
  <c r="AO479" i="1" s="1"/>
  <c r="AS505" i="1"/>
  <c r="AS479" i="1" s="1"/>
  <c r="AW505" i="1"/>
  <c r="AW479" i="1" s="1"/>
  <c r="G507" i="1"/>
  <c r="K507" i="1"/>
  <c r="O507" i="1"/>
  <c r="S507" i="1"/>
  <c r="W507" i="1"/>
  <c r="AA507" i="1"/>
  <c r="AE507" i="1"/>
  <c r="AI507" i="1"/>
  <c r="AM507" i="1"/>
  <c r="AQ507" i="1"/>
  <c r="AU507" i="1"/>
  <c r="AY507" i="1"/>
  <c r="AC509" i="1"/>
  <c r="AG509" i="1"/>
  <c r="AK509" i="1"/>
  <c r="AO509" i="1"/>
  <c r="AS509" i="1"/>
  <c r="AW509" i="1"/>
  <c r="M528" i="1"/>
  <c r="M524" i="1"/>
  <c r="M527" i="1"/>
  <c r="Q528" i="1"/>
  <c r="Q524" i="1"/>
  <c r="Q527" i="1"/>
  <c r="U528" i="1"/>
  <c r="U524" i="1"/>
  <c r="U527" i="1"/>
  <c r="Y528" i="1"/>
  <c r="Y524" i="1"/>
  <c r="Y527" i="1"/>
  <c r="AC528" i="1"/>
  <c r="AC524" i="1"/>
  <c r="AC527" i="1"/>
  <c r="AG528" i="1"/>
  <c r="AG524" i="1"/>
  <c r="AG527" i="1"/>
  <c r="AK528" i="1"/>
  <c r="AK524" i="1"/>
  <c r="AK527" i="1"/>
  <c r="AO528" i="1"/>
  <c r="AO524" i="1"/>
  <c r="AO527" i="1"/>
  <c r="AS528" i="1"/>
  <c r="AS524" i="1"/>
  <c r="AS527" i="1"/>
  <c r="AW528" i="1"/>
  <c r="AW524" i="1"/>
  <c r="AW527" i="1"/>
  <c r="M525" i="1"/>
  <c r="M480" i="1" s="1"/>
  <c r="U525" i="1"/>
  <c r="U480" i="1" s="1"/>
  <c r="AC525" i="1"/>
  <c r="AC480" i="1" s="1"/>
  <c r="AK525" i="1"/>
  <c r="AK480" i="1" s="1"/>
  <c r="AS525" i="1"/>
  <c r="AS480" i="1" s="1"/>
  <c r="H526" i="1"/>
  <c r="P526" i="1"/>
  <c r="X526" i="1"/>
  <c r="AF526" i="1"/>
  <c r="AN526" i="1"/>
  <c r="AV526" i="1"/>
  <c r="Q529" i="1"/>
  <c r="Y529" i="1"/>
  <c r="AG529" i="1"/>
  <c r="AO529" i="1"/>
  <c r="AW529" i="1"/>
  <c r="J543" i="1"/>
  <c r="J539" i="1"/>
  <c r="J481" i="1" s="1"/>
  <c r="J542" i="1"/>
  <c r="J538" i="1"/>
  <c r="N543" i="1"/>
  <c r="N539" i="1"/>
  <c r="N481" i="1" s="1"/>
  <c r="N542" i="1"/>
  <c r="N538" i="1"/>
  <c r="R543" i="1"/>
  <c r="R539" i="1"/>
  <c r="R481" i="1" s="1"/>
  <c r="R542" i="1"/>
  <c r="R538" i="1"/>
  <c r="V543" i="1"/>
  <c r="V539" i="1"/>
  <c r="V481" i="1" s="1"/>
  <c r="V542" i="1"/>
  <c r="V538" i="1"/>
  <c r="Z543" i="1"/>
  <c r="Z539" i="1"/>
  <c r="Z481" i="1" s="1"/>
  <c r="Z542" i="1"/>
  <c r="Z538" i="1"/>
  <c r="AD543" i="1"/>
  <c r="AD539" i="1"/>
  <c r="AD481" i="1" s="1"/>
  <c r="AD542" i="1"/>
  <c r="AD538" i="1"/>
  <c r="AH543" i="1"/>
  <c r="AH539" i="1"/>
  <c r="AH481" i="1" s="1"/>
  <c r="AH542" i="1"/>
  <c r="AH538" i="1"/>
  <c r="AL543" i="1"/>
  <c r="AL539" i="1"/>
  <c r="AL481" i="1" s="1"/>
  <c r="AL542" i="1"/>
  <c r="AL538" i="1"/>
  <c r="AP543" i="1"/>
  <c r="AP539" i="1"/>
  <c r="AP481" i="1" s="1"/>
  <c r="AP542" i="1"/>
  <c r="AP538" i="1"/>
  <c r="AT543" i="1"/>
  <c r="AT539" i="1"/>
  <c r="AT481" i="1" s="1"/>
  <c r="AT542" i="1"/>
  <c r="AT538" i="1"/>
  <c r="AX543" i="1"/>
  <c r="AX539" i="1"/>
  <c r="AX481" i="1" s="1"/>
  <c r="AX538" i="1"/>
  <c r="J540" i="1"/>
  <c r="R540" i="1"/>
  <c r="Z540" i="1"/>
  <c r="AH540" i="1"/>
  <c r="AP540" i="1"/>
  <c r="AX540" i="1"/>
  <c r="M541" i="1"/>
  <c r="U541" i="1"/>
  <c r="AC541" i="1"/>
  <c r="AK541" i="1"/>
  <c r="AS541" i="1"/>
  <c r="AW542" i="1"/>
  <c r="Y543" i="1"/>
  <c r="G505" i="1"/>
  <c r="G479" i="1" s="1"/>
  <c r="K505" i="1"/>
  <c r="K479" i="1" s="1"/>
  <c r="O505" i="1"/>
  <c r="O479" i="1" s="1"/>
  <c r="S505" i="1"/>
  <c r="S479" i="1" s="1"/>
  <c r="W505" i="1"/>
  <c r="W479" i="1" s="1"/>
  <c r="AA505" i="1"/>
  <c r="AA479" i="1" s="1"/>
  <c r="AE505" i="1"/>
  <c r="AE479" i="1" s="1"/>
  <c r="AI505" i="1"/>
  <c r="AI479" i="1" s="1"/>
  <c r="AM505" i="1"/>
  <c r="AM479" i="1" s="1"/>
  <c r="AQ505" i="1"/>
  <c r="AQ479" i="1" s="1"/>
  <c r="AU505" i="1"/>
  <c r="AU479" i="1" s="1"/>
  <c r="AY505" i="1"/>
  <c r="AY479" i="1" s="1"/>
  <c r="G526" i="1"/>
  <c r="G529" i="1"/>
  <c r="G525" i="1"/>
  <c r="G480" i="1" s="1"/>
  <c r="K526" i="1"/>
  <c r="K529" i="1"/>
  <c r="K525" i="1"/>
  <c r="K480" i="1" s="1"/>
  <c r="O526" i="1"/>
  <c r="O529" i="1"/>
  <c r="O525" i="1"/>
  <c r="O480" i="1" s="1"/>
  <c r="S526" i="1"/>
  <c r="S529" i="1"/>
  <c r="S525" i="1"/>
  <c r="S480" i="1" s="1"/>
  <c r="W526" i="1"/>
  <c r="W529" i="1"/>
  <c r="W525" i="1"/>
  <c r="W480" i="1" s="1"/>
  <c r="AA526" i="1"/>
  <c r="AA529" i="1"/>
  <c r="AA525" i="1"/>
  <c r="AA480" i="1" s="1"/>
  <c r="AE526" i="1"/>
  <c r="AE529" i="1"/>
  <c r="AE525" i="1"/>
  <c r="AE480" i="1" s="1"/>
  <c r="AI526" i="1"/>
  <c r="AI529" i="1"/>
  <c r="AI525" i="1"/>
  <c r="AI480" i="1" s="1"/>
  <c r="AM526" i="1"/>
  <c r="AM529" i="1"/>
  <c r="AM525" i="1"/>
  <c r="AM480" i="1" s="1"/>
  <c r="AQ526" i="1"/>
  <c r="AQ529" i="1"/>
  <c r="AQ525" i="1"/>
  <c r="AQ480" i="1" s="1"/>
  <c r="AU526" i="1"/>
  <c r="AU529" i="1"/>
  <c r="AU525" i="1"/>
  <c r="AU480" i="1" s="1"/>
  <c r="AY526" i="1"/>
  <c r="AY529" i="1"/>
  <c r="AY525" i="1"/>
  <c r="AY480" i="1" s="1"/>
  <c r="Q525" i="1"/>
  <c r="Q480" i="1" s="1"/>
  <c r="Y525" i="1"/>
  <c r="Y480" i="1" s="1"/>
  <c r="AG525" i="1"/>
  <c r="AG480" i="1" s="1"/>
  <c r="AO525" i="1"/>
  <c r="AO480" i="1" s="1"/>
  <c r="AW525" i="1"/>
  <c r="AW480" i="1" s="1"/>
  <c r="L526" i="1"/>
  <c r="T526" i="1"/>
  <c r="AB526" i="1"/>
  <c r="AJ526" i="1"/>
  <c r="AR526" i="1"/>
  <c r="G527" i="1"/>
  <c r="O527" i="1"/>
  <c r="W527" i="1"/>
  <c r="AE527" i="1"/>
  <c r="AM527" i="1"/>
  <c r="AU527" i="1"/>
  <c r="M529" i="1"/>
  <c r="U529" i="1"/>
  <c r="AC529" i="1"/>
  <c r="AK529" i="1"/>
  <c r="AS529" i="1"/>
  <c r="N540" i="1"/>
  <c r="V540" i="1"/>
  <c r="AD540" i="1"/>
  <c r="AL540" i="1"/>
  <c r="AT540" i="1"/>
  <c r="Q541" i="1"/>
  <c r="Y541" i="1"/>
  <c r="AG541" i="1"/>
  <c r="AO541" i="1"/>
  <c r="AW541" i="1"/>
  <c r="AO543" i="1"/>
  <c r="H573" i="1"/>
  <c r="H576" i="1"/>
  <c r="H572" i="1"/>
  <c r="H482" i="1" s="1"/>
  <c r="H575" i="1"/>
  <c r="H571" i="1"/>
  <c r="H574" i="1"/>
  <c r="L573" i="1"/>
  <c r="L576" i="1"/>
  <c r="L572" i="1"/>
  <c r="L482" i="1" s="1"/>
  <c r="L571" i="1"/>
  <c r="L574" i="1"/>
  <c r="L575" i="1"/>
  <c r="P573" i="1"/>
  <c r="P576" i="1"/>
  <c r="P572" i="1"/>
  <c r="P482" i="1" s="1"/>
  <c r="P575" i="1"/>
  <c r="P571" i="1"/>
  <c r="P574" i="1"/>
  <c r="T573" i="1"/>
  <c r="T576" i="1"/>
  <c r="T572" i="1"/>
  <c r="T482" i="1" s="1"/>
  <c r="T571" i="1"/>
  <c r="T574" i="1"/>
  <c r="T575" i="1"/>
  <c r="X573" i="1"/>
  <c r="X576" i="1"/>
  <c r="X572" i="1"/>
  <c r="X482" i="1" s="1"/>
  <c r="X575" i="1"/>
  <c r="X571" i="1"/>
  <c r="X574" i="1"/>
  <c r="AB573" i="1"/>
  <c r="AB576" i="1"/>
  <c r="AB572" i="1"/>
  <c r="AB482" i="1" s="1"/>
  <c r="AB571" i="1"/>
  <c r="AB574" i="1"/>
  <c r="AB575" i="1"/>
  <c r="AF573" i="1"/>
  <c r="AF576" i="1"/>
  <c r="AF572" i="1"/>
  <c r="AF482" i="1" s="1"/>
  <c r="AF575" i="1"/>
  <c r="AF571" i="1"/>
  <c r="AF574" i="1"/>
  <c r="AJ573" i="1"/>
  <c r="AJ576" i="1"/>
  <c r="AJ572" i="1"/>
  <c r="AJ482" i="1" s="1"/>
  <c r="AJ571" i="1"/>
  <c r="AJ574" i="1"/>
  <c r="AJ575" i="1"/>
  <c r="AN573" i="1"/>
  <c r="AN576" i="1"/>
  <c r="AN572" i="1"/>
  <c r="AN482" i="1" s="1"/>
  <c r="AN575" i="1"/>
  <c r="AN571" i="1"/>
  <c r="AN574" i="1"/>
  <c r="AR573" i="1"/>
  <c r="AR576" i="1"/>
  <c r="AR572" i="1"/>
  <c r="AR482" i="1" s="1"/>
  <c r="AR571" i="1"/>
  <c r="AR574" i="1"/>
  <c r="AR575" i="1"/>
  <c r="AV573" i="1"/>
  <c r="AV576" i="1"/>
  <c r="AV572" i="1"/>
  <c r="AV482" i="1" s="1"/>
  <c r="AV575" i="1"/>
  <c r="AV571" i="1"/>
  <c r="AV574" i="1"/>
  <c r="G571" i="1"/>
  <c r="O571" i="1"/>
  <c r="W571" i="1"/>
  <c r="AE571" i="1"/>
  <c r="AM571" i="1"/>
  <c r="AU571" i="1"/>
  <c r="K575" i="1"/>
  <c r="S575" i="1"/>
  <c r="AA575" i="1"/>
  <c r="AI575" i="1"/>
  <c r="AQ575" i="1"/>
  <c r="AY575" i="1"/>
  <c r="AM590" i="1"/>
  <c r="AU590" i="1"/>
  <c r="H604" i="1"/>
  <c r="H607" i="1"/>
  <c r="H603" i="1"/>
  <c r="H484" i="1" s="1"/>
  <c r="H605" i="1"/>
  <c r="H606" i="1"/>
  <c r="L604" i="1"/>
  <c r="L607" i="1"/>
  <c r="L603" i="1"/>
  <c r="L484" i="1" s="1"/>
  <c r="L602" i="1"/>
  <c r="P604" i="1"/>
  <c r="P607" i="1"/>
  <c r="P603" i="1"/>
  <c r="P484" i="1" s="1"/>
  <c r="P605" i="1"/>
  <c r="P606" i="1"/>
  <c r="T604" i="1"/>
  <c r="T607" i="1"/>
  <c r="T603" i="1"/>
  <c r="T484" i="1" s="1"/>
  <c r="T602" i="1"/>
  <c r="X604" i="1"/>
  <c r="X607" i="1"/>
  <c r="X603" i="1"/>
  <c r="X484" i="1" s="1"/>
  <c r="X605" i="1"/>
  <c r="X606" i="1"/>
  <c r="AB604" i="1"/>
  <c r="AB607" i="1"/>
  <c r="AB603" i="1"/>
  <c r="AB484" i="1" s="1"/>
  <c r="AB602" i="1"/>
  <c r="AF604" i="1"/>
  <c r="AF607" i="1"/>
  <c r="AF603" i="1"/>
  <c r="AF484" i="1" s="1"/>
  <c r="AF605" i="1"/>
  <c r="AF606" i="1"/>
  <c r="AJ604" i="1"/>
  <c r="AJ607" i="1"/>
  <c r="AJ603" i="1"/>
  <c r="AJ484" i="1" s="1"/>
  <c r="AJ602" i="1"/>
  <c r="AN604" i="1"/>
  <c r="AN607" i="1"/>
  <c r="AN603" i="1"/>
  <c r="AN484" i="1" s="1"/>
  <c r="AN605" i="1"/>
  <c r="AN606" i="1"/>
  <c r="AR604" i="1"/>
  <c r="AR607" i="1"/>
  <c r="AR603" i="1"/>
  <c r="AR484" i="1" s="1"/>
  <c r="AR602" i="1"/>
  <c r="AV604" i="1"/>
  <c r="AV607" i="1"/>
  <c r="AV603" i="1"/>
  <c r="AV484" i="1" s="1"/>
  <c r="AV605" i="1"/>
  <c r="AV606" i="1"/>
  <c r="P602" i="1"/>
  <c r="AV602" i="1"/>
  <c r="Q604" i="1"/>
  <c r="AW604" i="1"/>
  <c r="AJ606" i="1"/>
  <c r="N651" i="1"/>
  <c r="R655" i="1"/>
  <c r="V654" i="1"/>
  <c r="Z655" i="1"/>
  <c r="AL654" i="1"/>
  <c r="AT651" i="1"/>
  <c r="AX655" i="1"/>
  <c r="O654" i="1"/>
  <c r="S653" i="1"/>
  <c r="AA653" i="1"/>
  <c r="AE654" i="1"/>
  <c r="AI653" i="1"/>
  <c r="AU654" i="1"/>
  <c r="AY653" i="1"/>
  <c r="J590" i="1"/>
  <c r="J593" i="1"/>
  <c r="J589" i="1"/>
  <c r="J483" i="1" s="1"/>
  <c r="N590" i="1"/>
  <c r="N593" i="1"/>
  <c r="N589" i="1"/>
  <c r="N483" i="1" s="1"/>
  <c r="N592" i="1"/>
  <c r="R590" i="1"/>
  <c r="R593" i="1"/>
  <c r="R589" i="1"/>
  <c r="R483" i="1" s="1"/>
  <c r="V590" i="1"/>
  <c r="V593" i="1"/>
  <c r="V589" i="1"/>
  <c r="V483" i="1" s="1"/>
  <c r="V592" i="1"/>
  <c r="Z590" i="1"/>
  <c r="Z593" i="1"/>
  <c r="Z589" i="1"/>
  <c r="Z483" i="1" s="1"/>
  <c r="AD590" i="1"/>
  <c r="AD593" i="1"/>
  <c r="AD589" i="1"/>
  <c r="AD483" i="1" s="1"/>
  <c r="AD592" i="1"/>
  <c r="AH590" i="1"/>
  <c r="AH593" i="1"/>
  <c r="AH589" i="1"/>
  <c r="AH483" i="1" s="1"/>
  <c r="AL590" i="1"/>
  <c r="AL593" i="1"/>
  <c r="AL589" i="1"/>
  <c r="AL483" i="1" s="1"/>
  <c r="AL592" i="1"/>
  <c r="AP590" i="1"/>
  <c r="AP593" i="1"/>
  <c r="AP589" i="1"/>
  <c r="AP483" i="1" s="1"/>
  <c r="AT590" i="1"/>
  <c r="AT593" i="1"/>
  <c r="AT589" i="1"/>
  <c r="AT483" i="1" s="1"/>
  <c r="AT592" i="1"/>
  <c r="AX590" i="1"/>
  <c r="AX593" i="1"/>
  <c r="AX589" i="1"/>
  <c r="AX483" i="1" s="1"/>
  <c r="J588" i="1"/>
  <c r="R588" i="1"/>
  <c r="Z588" i="1"/>
  <c r="AH588" i="1"/>
  <c r="AP588" i="1"/>
  <c r="AX588" i="1"/>
  <c r="AD591" i="1"/>
  <c r="AX591" i="1"/>
  <c r="Z592" i="1"/>
  <c r="M607" i="1"/>
  <c r="M603" i="1"/>
  <c r="M484" i="1" s="1"/>
  <c r="M606" i="1"/>
  <c r="M602" i="1"/>
  <c r="M604" i="1"/>
  <c r="M605" i="1"/>
  <c r="Q607" i="1"/>
  <c r="Q603" i="1"/>
  <c r="Q484" i="1" s="1"/>
  <c r="Q606" i="1"/>
  <c r="Q602" i="1"/>
  <c r="U607" i="1"/>
  <c r="U603" i="1"/>
  <c r="U484" i="1" s="1"/>
  <c r="U606" i="1"/>
  <c r="U602" i="1"/>
  <c r="U604" i="1"/>
  <c r="U605" i="1"/>
  <c r="Y607" i="1"/>
  <c r="Y603" i="1"/>
  <c r="Y484" i="1" s="1"/>
  <c r="Y606" i="1"/>
  <c r="Y602" i="1"/>
  <c r="AC607" i="1"/>
  <c r="AC603" i="1"/>
  <c r="AC484" i="1" s="1"/>
  <c r="AC606" i="1"/>
  <c r="AC602" i="1"/>
  <c r="AC604" i="1"/>
  <c r="AC605" i="1"/>
  <c r="AG607" i="1"/>
  <c r="AG603" i="1"/>
  <c r="AG484" i="1" s="1"/>
  <c r="AG606" i="1"/>
  <c r="AG602" i="1"/>
  <c r="AK607" i="1"/>
  <c r="AK603" i="1"/>
  <c r="AK484" i="1" s="1"/>
  <c r="AK606" i="1"/>
  <c r="AK602" i="1"/>
  <c r="AK604" i="1"/>
  <c r="AK605" i="1"/>
  <c r="AO607" i="1"/>
  <c r="AO603" i="1"/>
  <c r="AO484" i="1" s="1"/>
  <c r="AO606" i="1"/>
  <c r="AO602" i="1"/>
  <c r="AS607" i="1"/>
  <c r="AS603" i="1"/>
  <c r="AS484" i="1" s="1"/>
  <c r="AS606" i="1"/>
  <c r="AS602" i="1"/>
  <c r="AS604" i="1"/>
  <c r="AS605" i="1"/>
  <c r="AW607" i="1"/>
  <c r="AW603" i="1"/>
  <c r="AW484" i="1" s="1"/>
  <c r="AW606" i="1"/>
  <c r="AW602" i="1"/>
  <c r="H602" i="1"/>
  <c r="AN602" i="1"/>
  <c r="AO604" i="1"/>
  <c r="T605" i="1"/>
  <c r="AJ605" i="1"/>
  <c r="AB606" i="1"/>
  <c r="H540" i="1"/>
  <c r="L540" i="1"/>
  <c r="P540" i="1"/>
  <c r="T540" i="1"/>
  <c r="X540" i="1"/>
  <c r="AB540" i="1"/>
  <c r="AF540" i="1"/>
  <c r="AJ540" i="1"/>
  <c r="AN540" i="1"/>
  <c r="AR540" i="1"/>
  <c r="AV540" i="1"/>
  <c r="G541" i="1"/>
  <c r="K541" i="1"/>
  <c r="O541" i="1"/>
  <c r="S541" i="1"/>
  <c r="W541" i="1"/>
  <c r="AA541" i="1"/>
  <c r="AE541" i="1"/>
  <c r="AI541" i="1"/>
  <c r="AM541" i="1"/>
  <c r="AQ541" i="1"/>
  <c r="AU541" i="1"/>
  <c r="AY541" i="1"/>
  <c r="G543" i="1"/>
  <c r="L543" i="1"/>
  <c r="W543" i="1"/>
  <c r="AB543" i="1"/>
  <c r="AM543" i="1"/>
  <c r="AR543" i="1"/>
  <c r="K593" i="1"/>
  <c r="K589" i="1"/>
  <c r="K483" i="1" s="1"/>
  <c r="K592" i="1"/>
  <c r="K588" i="1"/>
  <c r="O593" i="1"/>
  <c r="O589" i="1"/>
  <c r="O483" i="1" s="1"/>
  <c r="O592" i="1"/>
  <c r="O588" i="1"/>
  <c r="S593" i="1"/>
  <c r="S589" i="1"/>
  <c r="S483" i="1" s="1"/>
  <c r="S592" i="1"/>
  <c r="S588" i="1"/>
  <c r="W593" i="1"/>
  <c r="W589" i="1"/>
  <c r="W483" i="1" s="1"/>
  <c r="W592" i="1"/>
  <c r="W588" i="1"/>
  <c r="AA593" i="1"/>
  <c r="AA589" i="1"/>
  <c r="AA483" i="1" s="1"/>
  <c r="AA592" i="1"/>
  <c r="AA588" i="1"/>
  <c r="AA591" i="1"/>
  <c r="AE593" i="1"/>
  <c r="AE589" i="1"/>
  <c r="AE483" i="1" s="1"/>
  <c r="AE592" i="1"/>
  <c r="AE588" i="1"/>
  <c r="AI593" i="1"/>
  <c r="AI589" i="1"/>
  <c r="AI483" i="1" s="1"/>
  <c r="AI592" i="1"/>
  <c r="AI588" i="1"/>
  <c r="AI591" i="1"/>
  <c r="AM593" i="1"/>
  <c r="AM589" i="1"/>
  <c r="AM483" i="1" s="1"/>
  <c r="AM592" i="1"/>
  <c r="AM588" i="1"/>
  <c r="AQ593" i="1"/>
  <c r="AQ589" i="1"/>
  <c r="AQ483" i="1" s="1"/>
  <c r="AQ592" i="1"/>
  <c r="AQ588" i="1"/>
  <c r="AQ591" i="1"/>
  <c r="AU593" i="1"/>
  <c r="AU589" i="1"/>
  <c r="AU483" i="1" s="1"/>
  <c r="AU592" i="1"/>
  <c r="AU588" i="1"/>
  <c r="AY593" i="1"/>
  <c r="AY589" i="1"/>
  <c r="AY483" i="1" s="1"/>
  <c r="AY592" i="1"/>
  <c r="AY588" i="1"/>
  <c r="AY591" i="1"/>
  <c r="K590" i="1"/>
  <c r="S590" i="1"/>
  <c r="AA590" i="1"/>
  <c r="AI590" i="1"/>
  <c r="AQ590" i="1"/>
  <c r="AY590" i="1"/>
  <c r="N591" i="1"/>
  <c r="V591" i="1"/>
  <c r="AE591" i="1"/>
  <c r="AP591" i="1"/>
  <c r="R592" i="1"/>
  <c r="AX592" i="1"/>
  <c r="J623" i="1"/>
  <c r="J620" i="1"/>
  <c r="J619" i="1"/>
  <c r="J485" i="1" s="1"/>
  <c r="J621" i="1"/>
  <c r="J622" i="1"/>
  <c r="N623" i="1"/>
  <c r="N620" i="1"/>
  <c r="N619" i="1"/>
  <c r="N485" i="1" s="1"/>
  <c r="N621" i="1"/>
  <c r="N618" i="1"/>
  <c r="R623" i="1"/>
  <c r="R620" i="1"/>
  <c r="R619" i="1"/>
  <c r="R485" i="1" s="1"/>
  <c r="R621" i="1"/>
  <c r="R622" i="1"/>
  <c r="V623" i="1"/>
  <c r="V620" i="1"/>
  <c r="V619" i="1"/>
  <c r="V485" i="1" s="1"/>
  <c r="V621" i="1"/>
  <c r="V622" i="1"/>
  <c r="V618" i="1"/>
  <c r="Z623" i="1"/>
  <c r="Z622" i="1"/>
  <c r="Z620" i="1"/>
  <c r="Z619" i="1"/>
  <c r="Z485" i="1" s="1"/>
  <c r="Z621" i="1"/>
  <c r="AD623" i="1"/>
  <c r="AD620" i="1"/>
  <c r="AD622" i="1"/>
  <c r="AD619" i="1"/>
  <c r="AD485" i="1" s="1"/>
  <c r="AD621" i="1"/>
  <c r="AD618" i="1"/>
  <c r="AH623" i="1"/>
  <c r="AH620" i="1"/>
  <c r="AH619" i="1"/>
  <c r="AH485" i="1" s="1"/>
  <c r="AH621" i="1"/>
  <c r="AL623" i="1"/>
  <c r="AL620" i="1"/>
  <c r="AL619" i="1"/>
  <c r="AL485" i="1" s="1"/>
  <c r="AL622" i="1"/>
  <c r="AL621" i="1"/>
  <c r="AL618" i="1"/>
  <c r="AP623" i="1"/>
  <c r="AP622" i="1"/>
  <c r="AP620" i="1"/>
  <c r="AP619" i="1"/>
  <c r="AP485" i="1" s="1"/>
  <c r="AP621" i="1"/>
  <c r="AT623" i="1"/>
  <c r="AT620" i="1"/>
  <c r="AT622" i="1"/>
  <c r="AT619" i="1"/>
  <c r="AT485" i="1" s="1"/>
  <c r="AT621" i="1"/>
  <c r="AT618" i="1"/>
  <c r="AX623" i="1"/>
  <c r="AX620" i="1"/>
  <c r="AX619" i="1"/>
  <c r="AX485" i="1" s="1"/>
  <c r="AX621" i="1"/>
  <c r="AX622" i="1"/>
  <c r="AH618" i="1"/>
  <c r="AH622" i="1"/>
  <c r="M638" i="1"/>
  <c r="M634" i="1"/>
  <c r="M486" i="1" s="1"/>
  <c r="M637" i="1"/>
  <c r="M633" i="1"/>
  <c r="M636" i="1"/>
  <c r="M635" i="1"/>
  <c r="Q638" i="1"/>
  <c r="Q634" i="1"/>
  <c r="Q486" i="1" s="1"/>
  <c r="Q637" i="1"/>
  <c r="Q633" i="1"/>
  <c r="Q635" i="1"/>
  <c r="Q636" i="1"/>
  <c r="U638" i="1"/>
  <c r="U634" i="1"/>
  <c r="U486" i="1" s="1"/>
  <c r="U637" i="1"/>
  <c r="U633" i="1"/>
  <c r="U636" i="1"/>
  <c r="Y638" i="1"/>
  <c r="Y634" i="1"/>
  <c r="Y486" i="1" s="1"/>
  <c r="Y637" i="1"/>
  <c r="Y633" i="1"/>
  <c r="Y635" i="1"/>
  <c r="Y636" i="1"/>
  <c r="AC638" i="1"/>
  <c r="AC634" i="1"/>
  <c r="AC486" i="1" s="1"/>
  <c r="AC637" i="1"/>
  <c r="AC633" i="1"/>
  <c r="AC636" i="1"/>
  <c r="AC635" i="1"/>
  <c r="AG638" i="1"/>
  <c r="AG634" i="1"/>
  <c r="AG486" i="1" s="1"/>
  <c r="AG637" i="1"/>
  <c r="AG633" i="1"/>
  <c r="AG635" i="1"/>
  <c r="AG636" i="1"/>
  <c r="AK638" i="1"/>
  <c r="AK634" i="1"/>
  <c r="AK486" i="1" s="1"/>
  <c r="AK637" i="1"/>
  <c r="AK633" i="1"/>
  <c r="AK636" i="1"/>
  <c r="AK635" i="1"/>
  <c r="AO638" i="1"/>
  <c r="AO634" i="1"/>
  <c r="AO486" i="1" s="1"/>
  <c r="AO637" i="1"/>
  <c r="AO633" i="1"/>
  <c r="AO635" i="1"/>
  <c r="AO636" i="1"/>
  <c r="AS638" i="1"/>
  <c r="AS634" i="1"/>
  <c r="AS486" i="1" s="1"/>
  <c r="AS637" i="1"/>
  <c r="AS633" i="1"/>
  <c r="AS636" i="1"/>
  <c r="AS635" i="1"/>
  <c r="AW638" i="1"/>
  <c r="AW634" i="1"/>
  <c r="AW486" i="1" s="1"/>
  <c r="AW637" i="1"/>
  <c r="AW633" i="1"/>
  <c r="AW635" i="1"/>
  <c r="AW636" i="1"/>
  <c r="U635" i="1"/>
  <c r="G712" i="1"/>
  <c r="G715" i="1"/>
  <c r="G711" i="1"/>
  <c r="G491" i="1" s="1"/>
  <c r="G710" i="1"/>
  <c r="G714" i="1"/>
  <c r="G713" i="1"/>
  <c r="L715" i="1"/>
  <c r="L711" i="1"/>
  <c r="L491" i="1" s="1"/>
  <c r="L714" i="1"/>
  <c r="L710" i="1"/>
  <c r="L713" i="1"/>
  <c r="L712" i="1"/>
  <c r="P715" i="1"/>
  <c r="P711" i="1"/>
  <c r="P491" i="1" s="1"/>
  <c r="P714" i="1"/>
  <c r="P710" i="1"/>
  <c r="P713" i="1"/>
  <c r="P712" i="1"/>
  <c r="T715" i="1"/>
  <c r="T711" i="1"/>
  <c r="T491" i="1" s="1"/>
  <c r="T714" i="1"/>
  <c r="T710" i="1"/>
  <c r="T713" i="1"/>
  <c r="T712" i="1"/>
  <c r="X715" i="1"/>
  <c r="X711" i="1"/>
  <c r="X491" i="1" s="1"/>
  <c r="X714" i="1"/>
  <c r="X710" i="1"/>
  <c r="X713" i="1"/>
  <c r="X712" i="1"/>
  <c r="AB715" i="1"/>
  <c r="AB711" i="1"/>
  <c r="AB491" i="1" s="1"/>
  <c r="AB714" i="1"/>
  <c r="AB710" i="1"/>
  <c r="AB713" i="1"/>
  <c r="AB712" i="1"/>
  <c r="AF715" i="1"/>
  <c r="AF711" i="1"/>
  <c r="AF491" i="1" s="1"/>
  <c r="AF714" i="1"/>
  <c r="AF710" i="1"/>
  <c r="AF713" i="1"/>
  <c r="AF712" i="1"/>
  <c r="AJ715" i="1"/>
  <c r="AJ711" i="1"/>
  <c r="AJ491" i="1" s="1"/>
  <c r="AJ714" i="1"/>
  <c r="AJ710" i="1"/>
  <c r="AJ713" i="1"/>
  <c r="AJ712" i="1"/>
  <c r="AN715" i="1"/>
  <c r="AN711" i="1"/>
  <c r="AN491" i="1" s="1"/>
  <c r="AN714" i="1"/>
  <c r="AN710" i="1"/>
  <c r="AN713" i="1"/>
  <c r="AN712" i="1"/>
  <c r="AR715" i="1"/>
  <c r="AR711" i="1"/>
  <c r="AR491" i="1" s="1"/>
  <c r="AR714" i="1"/>
  <c r="AR710" i="1"/>
  <c r="AR713" i="1"/>
  <c r="AR712" i="1"/>
  <c r="AV715" i="1"/>
  <c r="AV711" i="1"/>
  <c r="AV491" i="1" s="1"/>
  <c r="AV714" i="1"/>
  <c r="AV710" i="1"/>
  <c r="AV713" i="1"/>
  <c r="AV712" i="1"/>
  <c r="Z710" i="1"/>
  <c r="Z714" i="1"/>
  <c r="J714" i="1"/>
  <c r="G538" i="1"/>
  <c r="K538" i="1"/>
  <c r="O538" i="1"/>
  <c r="S538" i="1"/>
  <c r="W538" i="1"/>
  <c r="AA538" i="1"/>
  <c r="AE538" i="1"/>
  <c r="AI538" i="1"/>
  <c r="AM538" i="1"/>
  <c r="AQ538" i="1"/>
  <c r="AU538" i="1"/>
  <c r="AY538" i="1"/>
  <c r="H541" i="1"/>
  <c r="X541" i="1"/>
  <c r="AN541" i="1"/>
  <c r="AV541" i="1"/>
  <c r="S542" i="1"/>
  <c r="AI542" i="1"/>
  <c r="AY543" i="1"/>
  <c r="G574" i="1"/>
  <c r="G573" i="1"/>
  <c r="K574" i="1"/>
  <c r="K573" i="1"/>
  <c r="O574" i="1"/>
  <c r="O573" i="1"/>
  <c r="S574" i="1"/>
  <c r="S573" i="1"/>
  <c r="W574" i="1"/>
  <c r="W573" i="1"/>
  <c r="AA574" i="1"/>
  <c r="AA573" i="1"/>
  <c r="AE574" i="1"/>
  <c r="AE573" i="1"/>
  <c r="AI574" i="1"/>
  <c r="AI573" i="1"/>
  <c r="AM574" i="1"/>
  <c r="AM573" i="1"/>
  <c r="AQ574" i="1"/>
  <c r="AQ573" i="1"/>
  <c r="AU574" i="1"/>
  <c r="AU573" i="1"/>
  <c r="AY574" i="1"/>
  <c r="AY573" i="1"/>
  <c r="G572" i="1"/>
  <c r="G482" i="1" s="1"/>
  <c r="O572" i="1"/>
  <c r="O482" i="1" s="1"/>
  <c r="W572" i="1"/>
  <c r="W482" i="1" s="1"/>
  <c r="AE572" i="1"/>
  <c r="AE482" i="1" s="1"/>
  <c r="AM572" i="1"/>
  <c r="AM482" i="1" s="1"/>
  <c r="AU572" i="1"/>
  <c r="AU482" i="1" s="1"/>
  <c r="K576" i="1"/>
  <c r="S576" i="1"/>
  <c r="AA576" i="1"/>
  <c r="AI576" i="1"/>
  <c r="AQ576" i="1"/>
  <c r="AY576" i="1"/>
  <c r="G593" i="1"/>
  <c r="G589" i="1"/>
  <c r="G483" i="1" s="1"/>
  <c r="G592" i="1"/>
  <c r="G588" i="1"/>
  <c r="N588" i="1"/>
  <c r="V588" i="1"/>
  <c r="AD588" i="1"/>
  <c r="AL588" i="1"/>
  <c r="AT588" i="1"/>
  <c r="G591" i="1"/>
  <c r="O591" i="1"/>
  <c r="W591" i="1"/>
  <c r="AH591" i="1"/>
  <c r="AT591" i="1"/>
  <c r="J592" i="1"/>
  <c r="AP592" i="1"/>
  <c r="X602" i="1"/>
  <c r="Y604" i="1"/>
  <c r="L605" i="1"/>
  <c r="AB605" i="1"/>
  <c r="AR605" i="1"/>
  <c r="L606" i="1"/>
  <c r="AR606" i="1"/>
  <c r="K619" i="1"/>
  <c r="K485" i="1" s="1"/>
  <c r="K622" i="1"/>
  <c r="K618" i="1"/>
  <c r="K620" i="1"/>
  <c r="O619" i="1"/>
  <c r="O485" i="1" s="1"/>
  <c r="O622" i="1"/>
  <c r="O618" i="1"/>
  <c r="O623" i="1"/>
  <c r="O620" i="1"/>
  <c r="O621" i="1"/>
  <c r="S622" i="1"/>
  <c r="S623" i="1"/>
  <c r="S619" i="1"/>
  <c r="S485" i="1" s="1"/>
  <c r="S618" i="1"/>
  <c r="S620" i="1"/>
  <c r="W623" i="1"/>
  <c r="W622" i="1"/>
  <c r="W619" i="1"/>
  <c r="W485" i="1" s="1"/>
  <c r="W618" i="1"/>
  <c r="W620" i="1"/>
  <c r="W621" i="1"/>
  <c r="AA623" i="1"/>
  <c r="AA622" i="1"/>
  <c r="AA619" i="1"/>
  <c r="AA485" i="1" s="1"/>
  <c r="AA618" i="1"/>
  <c r="AA620" i="1"/>
  <c r="AE623" i="1"/>
  <c r="AE622" i="1"/>
  <c r="AE619" i="1"/>
  <c r="AE485" i="1" s="1"/>
  <c r="AE618" i="1"/>
  <c r="AE620" i="1"/>
  <c r="AE621" i="1"/>
  <c r="AI623" i="1"/>
  <c r="AI622" i="1"/>
  <c r="AI619" i="1"/>
  <c r="AI485" i="1" s="1"/>
  <c r="AI618" i="1"/>
  <c r="AI620" i="1"/>
  <c r="AM623" i="1"/>
  <c r="AM622" i="1"/>
  <c r="AM619" i="1"/>
  <c r="AM485" i="1" s="1"/>
  <c r="AM618" i="1"/>
  <c r="AM620" i="1"/>
  <c r="AM621" i="1"/>
  <c r="AQ623" i="1"/>
  <c r="AQ622" i="1"/>
  <c r="AQ619" i="1"/>
  <c r="AQ485" i="1" s="1"/>
  <c r="AQ618" i="1"/>
  <c r="AQ620" i="1"/>
  <c r="AU623" i="1"/>
  <c r="AU622" i="1"/>
  <c r="AU619" i="1"/>
  <c r="AU485" i="1" s="1"/>
  <c r="AU618" i="1"/>
  <c r="AU620" i="1"/>
  <c r="AU621" i="1"/>
  <c r="AY623" i="1"/>
  <c r="AY622" i="1"/>
  <c r="AY619" i="1"/>
  <c r="AY485" i="1" s="1"/>
  <c r="AY618" i="1"/>
  <c r="AY620" i="1"/>
  <c r="Z618" i="1"/>
  <c r="AA621" i="1"/>
  <c r="K623" i="1"/>
  <c r="G619" i="1"/>
  <c r="G485" i="1" s="1"/>
  <c r="G623" i="1"/>
  <c r="G622" i="1"/>
  <c r="G618" i="1"/>
  <c r="G621" i="1"/>
  <c r="V651" i="1"/>
  <c r="M675" i="1"/>
  <c r="M671" i="1"/>
  <c r="M488" i="1" s="1"/>
  <c r="M674" i="1"/>
  <c r="M670" i="1"/>
  <c r="M673" i="1"/>
  <c r="Q675" i="1"/>
  <c r="Q671" i="1"/>
  <c r="Q488" i="1" s="1"/>
  <c r="Q674" i="1"/>
  <c r="Q670" i="1"/>
  <c r="Q672" i="1"/>
  <c r="U675" i="1"/>
  <c r="U671" i="1"/>
  <c r="U488" i="1" s="1"/>
  <c r="U674" i="1"/>
  <c r="U670" i="1"/>
  <c r="U673" i="1"/>
  <c r="Y675" i="1"/>
  <c r="Y671" i="1"/>
  <c r="Y488" i="1" s="1"/>
  <c r="Y674" i="1"/>
  <c r="Y670" i="1"/>
  <c r="Y672" i="1"/>
  <c r="AC675" i="1"/>
  <c r="AC671" i="1"/>
  <c r="AC488" i="1" s="1"/>
  <c r="AC674" i="1"/>
  <c r="AC670" i="1"/>
  <c r="AC673" i="1"/>
  <c r="AG675" i="1"/>
  <c r="AG671" i="1"/>
  <c r="AG488" i="1" s="1"/>
  <c r="AG674" i="1"/>
  <c r="AG670" i="1"/>
  <c r="AG672" i="1"/>
  <c r="AK675" i="1"/>
  <c r="AK671" i="1"/>
  <c r="AK488" i="1" s="1"/>
  <c r="AK674" i="1"/>
  <c r="AK670" i="1"/>
  <c r="AK673" i="1"/>
  <c r="AO675" i="1"/>
  <c r="AO671" i="1"/>
  <c r="AO488" i="1" s="1"/>
  <c r="AO674" i="1"/>
  <c r="AO670" i="1"/>
  <c r="AO672" i="1"/>
  <c r="AS675" i="1"/>
  <c r="AS671" i="1"/>
  <c r="AS488" i="1" s="1"/>
  <c r="AS674" i="1"/>
  <c r="AS670" i="1"/>
  <c r="AS673" i="1"/>
  <c r="AW675" i="1"/>
  <c r="AW671" i="1"/>
  <c r="AW488" i="1" s="1"/>
  <c r="AW674" i="1"/>
  <c r="AW670" i="1"/>
  <c r="AW672" i="1"/>
  <c r="H670" i="1"/>
  <c r="AN670" i="1"/>
  <c r="U672" i="1"/>
  <c r="Z694" i="1"/>
  <c r="G620" i="1"/>
  <c r="H635" i="1"/>
  <c r="H638" i="1"/>
  <c r="H634" i="1"/>
  <c r="H486" i="1" s="1"/>
  <c r="H637" i="1"/>
  <c r="L635" i="1"/>
  <c r="L638" i="1"/>
  <c r="L634" i="1"/>
  <c r="L486" i="1" s="1"/>
  <c r="L633" i="1"/>
  <c r="L636" i="1"/>
  <c r="P635" i="1"/>
  <c r="P638" i="1"/>
  <c r="P634" i="1"/>
  <c r="P486" i="1" s="1"/>
  <c r="P637" i="1"/>
  <c r="T635" i="1"/>
  <c r="T638" i="1"/>
  <c r="T634" i="1"/>
  <c r="T486" i="1" s="1"/>
  <c r="T633" i="1"/>
  <c r="T636" i="1"/>
  <c r="X635" i="1"/>
  <c r="X638" i="1"/>
  <c r="X634" i="1"/>
  <c r="X486" i="1" s="1"/>
  <c r="X637" i="1"/>
  <c r="AB635" i="1"/>
  <c r="AB638" i="1"/>
  <c r="AB634" i="1"/>
  <c r="AB486" i="1" s="1"/>
  <c r="AB633" i="1"/>
  <c r="AB636" i="1"/>
  <c r="AF635" i="1"/>
  <c r="AF638" i="1"/>
  <c r="AF634" i="1"/>
  <c r="AF486" i="1" s="1"/>
  <c r="AF637" i="1"/>
  <c r="AJ635" i="1"/>
  <c r="AJ638" i="1"/>
  <c r="AJ634" i="1"/>
  <c r="AJ486" i="1" s="1"/>
  <c r="AJ633" i="1"/>
  <c r="AJ636" i="1"/>
  <c r="AN635" i="1"/>
  <c r="AN638" i="1"/>
  <c r="AN634" i="1"/>
  <c r="AN486" i="1" s="1"/>
  <c r="AN637" i="1"/>
  <c r="AR635" i="1"/>
  <c r="AR638" i="1"/>
  <c r="AR634" i="1"/>
  <c r="AR486" i="1" s="1"/>
  <c r="AR633" i="1"/>
  <c r="AR636" i="1"/>
  <c r="AV635" i="1"/>
  <c r="AV638" i="1"/>
  <c r="AV634" i="1"/>
  <c r="AV486" i="1" s="1"/>
  <c r="AV637" i="1"/>
  <c r="P633" i="1"/>
  <c r="AV633" i="1"/>
  <c r="AJ637" i="1"/>
  <c r="G653" i="1"/>
  <c r="M672" i="1"/>
  <c r="AS672" i="1"/>
  <c r="Y673" i="1"/>
  <c r="AO673" i="1"/>
  <c r="J687" i="1"/>
  <c r="J686" i="1"/>
  <c r="J684" i="1"/>
  <c r="J489" i="1" s="1"/>
  <c r="J688" i="1"/>
  <c r="J683" i="1"/>
  <c r="N687" i="1"/>
  <c r="N685" i="1"/>
  <c r="N686" i="1"/>
  <c r="N684" i="1"/>
  <c r="N489" i="1" s="1"/>
  <c r="N683" i="1"/>
  <c r="R687" i="1"/>
  <c r="R688" i="1"/>
  <c r="R685" i="1"/>
  <c r="R683" i="1"/>
  <c r="R686" i="1"/>
  <c r="V687" i="1"/>
  <c r="V686" i="1"/>
  <c r="V684" i="1"/>
  <c r="V489" i="1" s="1"/>
  <c r="V688" i="1"/>
  <c r="V685" i="1"/>
  <c r="V683" i="1"/>
  <c r="Z687" i="1"/>
  <c r="Z686" i="1"/>
  <c r="Z684" i="1"/>
  <c r="Z489" i="1" s="1"/>
  <c r="Z688" i="1"/>
  <c r="Z683" i="1"/>
  <c r="AD687" i="1"/>
  <c r="AD685" i="1"/>
  <c r="AD686" i="1"/>
  <c r="AD684" i="1"/>
  <c r="AD489" i="1" s="1"/>
  <c r="AD683" i="1"/>
  <c r="AH687" i="1"/>
  <c r="AH688" i="1"/>
  <c r="AH685" i="1"/>
  <c r="AH683" i="1"/>
  <c r="AH686" i="1"/>
  <c r="AL687" i="1"/>
  <c r="AL686" i="1"/>
  <c r="AL684" i="1"/>
  <c r="AL489" i="1" s="1"/>
  <c r="AL688" i="1"/>
  <c r="AL685" i="1"/>
  <c r="AL683" i="1"/>
  <c r="AP687" i="1"/>
  <c r="AP686" i="1"/>
  <c r="AP684" i="1"/>
  <c r="AP489" i="1" s="1"/>
  <c r="AP688" i="1"/>
  <c r="AP683" i="1"/>
  <c r="AT687" i="1"/>
  <c r="AT685" i="1"/>
  <c r="AT686" i="1"/>
  <c r="AT684" i="1"/>
  <c r="AT489" i="1" s="1"/>
  <c r="AT683" i="1"/>
  <c r="AX687" i="1"/>
  <c r="AX688" i="1"/>
  <c r="AX685" i="1"/>
  <c r="AX683" i="1"/>
  <c r="G697" i="1"/>
  <c r="G698" i="1"/>
  <c r="G695" i="1"/>
  <c r="G490" i="1" s="1"/>
  <c r="G699" i="1"/>
  <c r="G696" i="1"/>
  <c r="G694" i="1"/>
  <c r="L696" i="1"/>
  <c r="L698" i="1"/>
  <c r="L694" i="1"/>
  <c r="L697" i="1"/>
  <c r="L695" i="1"/>
  <c r="L490" i="1" s="1"/>
  <c r="L699" i="1"/>
  <c r="P696" i="1"/>
  <c r="P694" i="1"/>
  <c r="P698" i="1"/>
  <c r="P695" i="1"/>
  <c r="P490" i="1" s="1"/>
  <c r="P697" i="1"/>
  <c r="P699" i="1"/>
  <c r="T696" i="1"/>
  <c r="T699" i="1"/>
  <c r="T697" i="1"/>
  <c r="T694" i="1"/>
  <c r="T698" i="1"/>
  <c r="T695" i="1"/>
  <c r="T490" i="1" s="1"/>
  <c r="X696" i="1"/>
  <c r="X695" i="1"/>
  <c r="X490" i="1" s="1"/>
  <c r="X694" i="1"/>
  <c r="X698" i="1"/>
  <c r="X697" i="1"/>
  <c r="X699" i="1"/>
  <c r="AB696" i="1"/>
  <c r="AB698" i="1"/>
  <c r="AB694" i="1"/>
  <c r="AB699" i="1"/>
  <c r="AB695" i="1"/>
  <c r="AB490" i="1" s="1"/>
  <c r="AB697" i="1"/>
  <c r="AF696" i="1"/>
  <c r="AF694" i="1"/>
  <c r="AF697" i="1"/>
  <c r="AF699" i="1"/>
  <c r="AJ696" i="1"/>
  <c r="AJ699" i="1"/>
  <c r="AJ697" i="1"/>
  <c r="AJ694" i="1"/>
  <c r="AJ698" i="1"/>
  <c r="AJ695" i="1"/>
  <c r="AJ490" i="1" s="1"/>
  <c r="AN696" i="1"/>
  <c r="AN695" i="1"/>
  <c r="AN490" i="1" s="1"/>
  <c r="AN694" i="1"/>
  <c r="AN697" i="1"/>
  <c r="AN699" i="1"/>
  <c r="AN698" i="1"/>
  <c r="AR696" i="1"/>
  <c r="AR698" i="1"/>
  <c r="AR694" i="1"/>
  <c r="AR695" i="1"/>
  <c r="AR490" i="1" s="1"/>
  <c r="AR697" i="1"/>
  <c r="AR699" i="1"/>
  <c r="AV696" i="1"/>
  <c r="AV694" i="1"/>
  <c r="AV697" i="1"/>
  <c r="AV699" i="1"/>
  <c r="AV698" i="1"/>
  <c r="AV695" i="1"/>
  <c r="AV490" i="1" s="1"/>
  <c r="H695" i="1"/>
  <c r="H490" i="1" s="1"/>
  <c r="H699" i="1"/>
  <c r="AP697" i="1"/>
  <c r="AP694" i="1"/>
  <c r="AD699" i="1"/>
  <c r="J653" i="1"/>
  <c r="J656" i="1"/>
  <c r="J652" i="1"/>
  <c r="J487" i="1" s="1"/>
  <c r="J651" i="1"/>
  <c r="J654" i="1"/>
  <c r="N653" i="1"/>
  <c r="N656" i="1"/>
  <c r="N652" i="1"/>
  <c r="N487" i="1" s="1"/>
  <c r="N655" i="1"/>
  <c r="R653" i="1"/>
  <c r="R656" i="1"/>
  <c r="R652" i="1"/>
  <c r="R487" i="1" s="1"/>
  <c r="R651" i="1"/>
  <c r="R654" i="1"/>
  <c r="V653" i="1"/>
  <c r="V656" i="1"/>
  <c r="V652" i="1"/>
  <c r="V487" i="1" s="1"/>
  <c r="V655" i="1"/>
  <c r="Z653" i="1"/>
  <c r="Z656" i="1"/>
  <c r="Z652" i="1"/>
  <c r="Z487" i="1" s="1"/>
  <c r="Z651" i="1"/>
  <c r="Z654" i="1"/>
  <c r="AD653" i="1"/>
  <c r="AD656" i="1"/>
  <c r="AD652" i="1"/>
  <c r="AD487" i="1" s="1"/>
  <c r="AD655" i="1"/>
  <c r="AH653" i="1"/>
  <c r="AH656" i="1"/>
  <c r="AH652" i="1"/>
  <c r="AH487" i="1" s="1"/>
  <c r="AH651" i="1"/>
  <c r="AH654" i="1"/>
  <c r="AL653" i="1"/>
  <c r="AL656" i="1"/>
  <c r="AL652" i="1"/>
  <c r="AL487" i="1" s="1"/>
  <c r="AL655" i="1"/>
  <c r="AP653" i="1"/>
  <c r="AP656" i="1"/>
  <c r="AP652" i="1"/>
  <c r="AP487" i="1" s="1"/>
  <c r="AP651" i="1"/>
  <c r="AP654" i="1"/>
  <c r="AT653" i="1"/>
  <c r="AT656" i="1"/>
  <c r="AT652" i="1"/>
  <c r="AT487" i="1" s="1"/>
  <c r="AT655" i="1"/>
  <c r="AX653" i="1"/>
  <c r="AX656" i="1"/>
  <c r="AX652" i="1"/>
  <c r="AX487" i="1" s="1"/>
  <c r="AX651" i="1"/>
  <c r="AX654" i="1"/>
  <c r="AD651" i="1"/>
  <c r="N654" i="1"/>
  <c r="AD654" i="1"/>
  <c r="AT654" i="1"/>
  <c r="AH655" i="1"/>
  <c r="H672" i="1"/>
  <c r="H675" i="1"/>
  <c r="H671" i="1"/>
  <c r="H488" i="1" s="1"/>
  <c r="H674" i="1"/>
  <c r="L672" i="1"/>
  <c r="L675" i="1"/>
  <c r="L671" i="1"/>
  <c r="L488" i="1" s="1"/>
  <c r="L670" i="1"/>
  <c r="L673" i="1"/>
  <c r="P672" i="1"/>
  <c r="P675" i="1"/>
  <c r="P671" i="1"/>
  <c r="P488" i="1" s="1"/>
  <c r="P674" i="1"/>
  <c r="T672" i="1"/>
  <c r="T675" i="1"/>
  <c r="T671" i="1"/>
  <c r="T488" i="1" s="1"/>
  <c r="T670" i="1"/>
  <c r="T673" i="1"/>
  <c r="X672" i="1"/>
  <c r="X675" i="1"/>
  <c r="X671" i="1"/>
  <c r="X488" i="1" s="1"/>
  <c r="X674" i="1"/>
  <c r="AB672" i="1"/>
  <c r="AB675" i="1"/>
  <c r="AB671" i="1"/>
  <c r="AB488" i="1" s="1"/>
  <c r="AB670" i="1"/>
  <c r="AB673" i="1"/>
  <c r="AF672" i="1"/>
  <c r="AF675" i="1"/>
  <c r="AF671" i="1"/>
  <c r="AF488" i="1" s="1"/>
  <c r="AF674" i="1"/>
  <c r="AJ672" i="1"/>
  <c r="AJ675" i="1"/>
  <c r="AJ671" i="1"/>
  <c r="AJ488" i="1" s="1"/>
  <c r="AJ670" i="1"/>
  <c r="AJ673" i="1"/>
  <c r="AN672" i="1"/>
  <c r="AN675" i="1"/>
  <c r="AN671" i="1"/>
  <c r="AN488" i="1" s="1"/>
  <c r="AN674" i="1"/>
  <c r="AR672" i="1"/>
  <c r="AR675" i="1"/>
  <c r="AR671" i="1"/>
  <c r="AR488" i="1" s="1"/>
  <c r="AR670" i="1"/>
  <c r="AR673" i="1"/>
  <c r="AV672" i="1"/>
  <c r="AV675" i="1"/>
  <c r="AV671" i="1"/>
  <c r="AV488" i="1" s="1"/>
  <c r="AV674" i="1"/>
  <c r="P670" i="1"/>
  <c r="AV670" i="1"/>
  <c r="AC672" i="1"/>
  <c r="Q673" i="1"/>
  <c r="AG673" i="1"/>
  <c r="AW673" i="1"/>
  <c r="AJ674" i="1"/>
  <c r="R684" i="1"/>
  <c r="R489" i="1" s="1"/>
  <c r="AH684" i="1"/>
  <c r="AH489" i="1" s="1"/>
  <c r="AX684" i="1"/>
  <c r="AX489" i="1" s="1"/>
  <c r="Z685" i="1"/>
  <c r="AF695" i="1"/>
  <c r="AF490" i="1" s="1"/>
  <c r="AF698" i="1"/>
  <c r="J574" i="1"/>
  <c r="N574" i="1"/>
  <c r="R574" i="1"/>
  <c r="V574" i="1"/>
  <c r="Z574" i="1"/>
  <c r="AD574" i="1"/>
  <c r="AH574" i="1"/>
  <c r="AL574" i="1"/>
  <c r="AP574" i="1"/>
  <c r="AT574" i="1"/>
  <c r="AX574" i="1"/>
  <c r="M590" i="1"/>
  <c r="Q590" i="1"/>
  <c r="U590" i="1"/>
  <c r="Y590" i="1"/>
  <c r="AC590" i="1"/>
  <c r="AG590" i="1"/>
  <c r="AK590" i="1"/>
  <c r="AO590" i="1"/>
  <c r="AS590" i="1"/>
  <c r="AW590" i="1"/>
  <c r="H591" i="1"/>
  <c r="L591" i="1"/>
  <c r="P591" i="1"/>
  <c r="T591" i="1"/>
  <c r="X591" i="1"/>
  <c r="AB591" i="1"/>
  <c r="AF591" i="1"/>
  <c r="AJ591" i="1"/>
  <c r="AN591" i="1"/>
  <c r="AR591" i="1"/>
  <c r="AV591" i="1"/>
  <c r="G604" i="1"/>
  <c r="K604" i="1"/>
  <c r="O604" i="1"/>
  <c r="S604" i="1"/>
  <c r="W604" i="1"/>
  <c r="AA604" i="1"/>
  <c r="AE604" i="1"/>
  <c r="AI604" i="1"/>
  <c r="AM604" i="1"/>
  <c r="AQ604" i="1"/>
  <c r="AU604" i="1"/>
  <c r="AY604" i="1"/>
  <c r="J605" i="1"/>
  <c r="N605" i="1"/>
  <c r="R605" i="1"/>
  <c r="V605" i="1"/>
  <c r="Z605" i="1"/>
  <c r="AD605" i="1"/>
  <c r="AH605" i="1"/>
  <c r="AL605" i="1"/>
  <c r="AP605" i="1"/>
  <c r="AT605" i="1"/>
  <c r="AX605" i="1"/>
  <c r="M620" i="1"/>
  <c r="Q620" i="1"/>
  <c r="U620" i="1"/>
  <c r="Y620" i="1"/>
  <c r="AC620" i="1"/>
  <c r="AG620" i="1"/>
  <c r="AK620" i="1"/>
  <c r="AO620" i="1"/>
  <c r="AS620" i="1"/>
  <c r="AW620" i="1"/>
  <c r="H621" i="1"/>
  <c r="L621" i="1"/>
  <c r="P621" i="1"/>
  <c r="T621" i="1"/>
  <c r="X621" i="1"/>
  <c r="AB621" i="1"/>
  <c r="AF621" i="1"/>
  <c r="AJ621" i="1"/>
  <c r="AN621" i="1"/>
  <c r="AR621" i="1"/>
  <c r="AV621" i="1"/>
  <c r="T622" i="1"/>
  <c r="Y622" i="1"/>
  <c r="AJ622" i="1"/>
  <c r="AO622" i="1"/>
  <c r="L623" i="1"/>
  <c r="Q623" i="1"/>
  <c r="X623" i="1"/>
  <c r="AF623" i="1"/>
  <c r="AN623" i="1"/>
  <c r="AV623" i="1"/>
  <c r="K656" i="1"/>
  <c r="K652" i="1"/>
  <c r="K487" i="1" s="1"/>
  <c r="B487" i="1" s="1"/>
  <c r="K655" i="1"/>
  <c r="K651" i="1"/>
  <c r="O656" i="1"/>
  <c r="O652" i="1"/>
  <c r="O487" i="1" s="1"/>
  <c r="O655" i="1"/>
  <c r="O651" i="1"/>
  <c r="S656" i="1"/>
  <c r="S652" i="1"/>
  <c r="S487" i="1" s="1"/>
  <c r="S655" i="1"/>
  <c r="S651" i="1"/>
  <c r="W656" i="1"/>
  <c r="W652" i="1"/>
  <c r="W487" i="1" s="1"/>
  <c r="W655" i="1"/>
  <c r="W651" i="1"/>
  <c r="AA656" i="1"/>
  <c r="AA652" i="1"/>
  <c r="AA487" i="1" s="1"/>
  <c r="AA655" i="1"/>
  <c r="AA651" i="1"/>
  <c r="AE656" i="1"/>
  <c r="AE652" i="1"/>
  <c r="AE487" i="1" s="1"/>
  <c r="AE655" i="1"/>
  <c r="AE651" i="1"/>
  <c r="AI656" i="1"/>
  <c r="AI652" i="1"/>
  <c r="AI487" i="1" s="1"/>
  <c r="AI655" i="1"/>
  <c r="AI651" i="1"/>
  <c r="AM656" i="1"/>
  <c r="AM652" i="1"/>
  <c r="AM487" i="1" s="1"/>
  <c r="AM655" i="1"/>
  <c r="AM651" i="1"/>
  <c r="AQ656" i="1"/>
  <c r="AQ652" i="1"/>
  <c r="AQ487" i="1" s="1"/>
  <c r="AQ655" i="1"/>
  <c r="AQ651" i="1"/>
  <c r="AU656" i="1"/>
  <c r="AU652" i="1"/>
  <c r="AU487" i="1" s="1"/>
  <c r="AU655" i="1"/>
  <c r="AU651" i="1"/>
  <c r="AY656" i="1"/>
  <c r="AY652" i="1"/>
  <c r="AY487" i="1" s="1"/>
  <c r="AY655" i="1"/>
  <c r="AY651" i="1"/>
  <c r="O653" i="1"/>
  <c r="W653" i="1"/>
  <c r="AE653" i="1"/>
  <c r="AM653" i="1"/>
  <c r="AU653" i="1"/>
  <c r="K686" i="1"/>
  <c r="K684" i="1"/>
  <c r="K489" i="1" s="1"/>
  <c r="K688" i="1"/>
  <c r="K683" i="1"/>
  <c r="K685" i="1"/>
  <c r="O686" i="1"/>
  <c r="O687" i="1"/>
  <c r="O684" i="1"/>
  <c r="O489" i="1" s="1"/>
  <c r="O683" i="1"/>
  <c r="O688" i="1"/>
  <c r="S686" i="1"/>
  <c r="S685" i="1"/>
  <c r="S687" i="1"/>
  <c r="S683" i="1"/>
  <c r="S684" i="1"/>
  <c r="S489" i="1" s="1"/>
  <c r="W686" i="1"/>
  <c r="W688" i="1"/>
  <c r="W685" i="1"/>
  <c r="W683" i="1"/>
  <c r="W687" i="1"/>
  <c r="AA686" i="1"/>
  <c r="AA684" i="1"/>
  <c r="AA489" i="1" s="1"/>
  <c r="AA688" i="1"/>
  <c r="AA683" i="1"/>
  <c r="AA685" i="1"/>
  <c r="AE686" i="1"/>
  <c r="AE687" i="1"/>
  <c r="AE684" i="1"/>
  <c r="AE489" i="1" s="1"/>
  <c r="AE683" i="1"/>
  <c r="AE688" i="1"/>
  <c r="AI686" i="1"/>
  <c r="AI685" i="1"/>
  <c r="AI687" i="1"/>
  <c r="AI683" i="1"/>
  <c r="AI684" i="1"/>
  <c r="AI489" i="1" s="1"/>
  <c r="AM686" i="1"/>
  <c r="AM688" i="1"/>
  <c r="AM685" i="1"/>
  <c r="AM683" i="1"/>
  <c r="AM687" i="1"/>
  <c r="AQ686" i="1"/>
  <c r="AQ684" i="1"/>
  <c r="AQ489" i="1" s="1"/>
  <c r="AQ688" i="1"/>
  <c r="AQ683" i="1"/>
  <c r="AQ685" i="1"/>
  <c r="AU686" i="1"/>
  <c r="AU687" i="1"/>
  <c r="AU684" i="1"/>
  <c r="AU489" i="1" s="1"/>
  <c r="AU683" i="1"/>
  <c r="AU688" i="1"/>
  <c r="AY686" i="1"/>
  <c r="AY685" i="1"/>
  <c r="AY687" i="1"/>
  <c r="AY683" i="1"/>
  <c r="AY684" i="1"/>
  <c r="AY489" i="1" s="1"/>
  <c r="O685" i="1"/>
  <c r="AE685" i="1"/>
  <c r="AU685" i="1"/>
  <c r="AA687" i="1"/>
  <c r="J696" i="1"/>
  <c r="N695" i="1"/>
  <c r="N490" i="1" s="1"/>
  <c r="R699" i="1"/>
  <c r="V697" i="1"/>
  <c r="AH695" i="1"/>
  <c r="AH490" i="1" s="1"/>
  <c r="AL694" i="1"/>
  <c r="AP695" i="1"/>
  <c r="AP490" i="1" s="1"/>
  <c r="AT699" i="1"/>
  <c r="AX697" i="1"/>
  <c r="J571" i="1"/>
  <c r="N571" i="1"/>
  <c r="R571" i="1"/>
  <c r="V571" i="1"/>
  <c r="Z571" i="1"/>
  <c r="AD571" i="1"/>
  <c r="AH571" i="1"/>
  <c r="AL571" i="1"/>
  <c r="AP571" i="1"/>
  <c r="AT571" i="1"/>
  <c r="AX571" i="1"/>
  <c r="H588" i="1"/>
  <c r="L588" i="1"/>
  <c r="P588" i="1"/>
  <c r="T588" i="1"/>
  <c r="X588" i="1"/>
  <c r="AB588" i="1"/>
  <c r="AF588" i="1"/>
  <c r="AJ588" i="1"/>
  <c r="AN588" i="1"/>
  <c r="AR588" i="1"/>
  <c r="AV588" i="1"/>
  <c r="J602" i="1"/>
  <c r="N602" i="1"/>
  <c r="R602" i="1"/>
  <c r="V602" i="1"/>
  <c r="Z602" i="1"/>
  <c r="AD602" i="1"/>
  <c r="AH602" i="1"/>
  <c r="AL602" i="1"/>
  <c r="AP602" i="1"/>
  <c r="AT602" i="1"/>
  <c r="AX602" i="1"/>
  <c r="H618" i="1"/>
  <c r="L618" i="1"/>
  <c r="P618" i="1"/>
  <c r="AF618" i="1"/>
  <c r="AV618" i="1"/>
  <c r="M621" i="1"/>
  <c r="U621" i="1"/>
  <c r="Y621" i="1"/>
  <c r="AG621" i="1"/>
  <c r="AK621" i="1"/>
  <c r="AO621" i="1"/>
  <c r="AW621" i="1"/>
  <c r="H622" i="1"/>
  <c r="G656" i="1"/>
  <c r="G652" i="1"/>
  <c r="G487" i="1" s="1"/>
  <c r="G655" i="1"/>
  <c r="G651" i="1"/>
  <c r="K654" i="1"/>
  <c r="S654" i="1"/>
  <c r="AA654" i="1"/>
  <c r="AI654" i="1"/>
  <c r="AQ654" i="1"/>
  <c r="AY654" i="1"/>
  <c r="G686" i="1"/>
  <c r="G688" i="1"/>
  <c r="G684" i="1"/>
  <c r="G489" i="1" s="1"/>
  <c r="G685" i="1"/>
  <c r="G683" i="1"/>
  <c r="G687" i="1"/>
  <c r="AQ687" i="1"/>
  <c r="O713" i="1"/>
  <c r="AE713" i="1"/>
  <c r="AU713" i="1"/>
  <c r="H696" i="1"/>
  <c r="H694" i="1"/>
  <c r="K694" i="1"/>
  <c r="V694" i="1"/>
  <c r="AA694" i="1"/>
  <c r="AA695" i="1"/>
  <c r="AA490" i="1" s="1"/>
  <c r="R696" i="1"/>
  <c r="AM696" i="1"/>
  <c r="AT696" i="1"/>
  <c r="H697" i="1"/>
  <c r="P741" i="1"/>
  <c r="P739" i="1"/>
  <c r="P493" i="1" s="1"/>
  <c r="X739" i="1"/>
  <c r="X493" i="1" s="1"/>
  <c r="X741" i="1"/>
  <c r="AF741" i="1"/>
  <c r="AF739" i="1"/>
  <c r="AF493" i="1" s="1"/>
  <c r="AN739" i="1"/>
  <c r="AN493" i="1" s="1"/>
  <c r="AN741" i="1"/>
  <c r="AV741" i="1"/>
  <c r="AV739" i="1"/>
  <c r="AV493" i="1" s="1"/>
  <c r="G635" i="1"/>
  <c r="K635" i="1"/>
  <c r="O635" i="1"/>
  <c r="S635" i="1"/>
  <c r="W635" i="1"/>
  <c r="AA635" i="1"/>
  <c r="AE635" i="1"/>
  <c r="AI635" i="1"/>
  <c r="AM635" i="1"/>
  <c r="AQ635" i="1"/>
  <c r="AU635" i="1"/>
  <c r="AY635" i="1"/>
  <c r="J636" i="1"/>
  <c r="N636" i="1"/>
  <c r="R636" i="1"/>
  <c r="V636" i="1"/>
  <c r="Z636" i="1"/>
  <c r="AD636" i="1"/>
  <c r="AH636" i="1"/>
  <c r="AL636" i="1"/>
  <c r="AP636" i="1"/>
  <c r="AT636" i="1"/>
  <c r="AX636" i="1"/>
  <c r="M653" i="1"/>
  <c r="Q653" i="1"/>
  <c r="U653" i="1"/>
  <c r="Y653" i="1"/>
  <c r="AC653" i="1"/>
  <c r="AG653" i="1"/>
  <c r="AK653" i="1"/>
  <c r="AO653" i="1"/>
  <c r="AS653" i="1"/>
  <c r="AW653" i="1"/>
  <c r="H654" i="1"/>
  <c r="L654" i="1"/>
  <c r="P654" i="1"/>
  <c r="T654" i="1"/>
  <c r="X654" i="1"/>
  <c r="AB654" i="1"/>
  <c r="AF654" i="1"/>
  <c r="AJ654" i="1"/>
  <c r="AN654" i="1"/>
  <c r="AR654" i="1"/>
  <c r="AV654" i="1"/>
  <c r="G672" i="1"/>
  <c r="K672" i="1"/>
  <c r="O672" i="1"/>
  <c r="S672" i="1"/>
  <c r="W672" i="1"/>
  <c r="AA672" i="1"/>
  <c r="AE672" i="1"/>
  <c r="AI672" i="1"/>
  <c r="AM672" i="1"/>
  <c r="AQ672" i="1"/>
  <c r="AU672" i="1"/>
  <c r="AY672" i="1"/>
  <c r="J673" i="1"/>
  <c r="N673" i="1"/>
  <c r="R673" i="1"/>
  <c r="V673" i="1"/>
  <c r="Z673" i="1"/>
  <c r="AD673" i="1"/>
  <c r="AH673" i="1"/>
  <c r="AL673" i="1"/>
  <c r="AP673" i="1"/>
  <c r="AT673" i="1"/>
  <c r="AX673" i="1"/>
  <c r="T684" i="1"/>
  <c r="T489" i="1" s="1"/>
  <c r="AJ684" i="1"/>
  <c r="AJ489" i="1" s="1"/>
  <c r="M685" i="1"/>
  <c r="AC685" i="1"/>
  <c r="AS685" i="1"/>
  <c r="P686" i="1"/>
  <c r="AF686" i="1"/>
  <c r="AV686" i="1"/>
  <c r="H687" i="1"/>
  <c r="X687" i="1"/>
  <c r="AN687" i="1"/>
  <c r="P688" i="1"/>
  <c r="AF688" i="1"/>
  <c r="AV688" i="1"/>
  <c r="J698" i="1"/>
  <c r="J699" i="1"/>
  <c r="N698" i="1"/>
  <c r="N697" i="1"/>
  <c r="R698" i="1"/>
  <c r="V698" i="1"/>
  <c r="V696" i="1"/>
  <c r="Z698" i="1"/>
  <c r="Z699" i="1"/>
  <c r="AD698" i="1"/>
  <c r="AD697" i="1"/>
  <c r="AD695" i="1"/>
  <c r="AD490" i="1" s="1"/>
  <c r="AH698" i="1"/>
  <c r="AL698" i="1"/>
  <c r="AL696" i="1"/>
  <c r="AP698" i="1"/>
  <c r="AP699" i="1"/>
  <c r="AT698" i="1"/>
  <c r="AT697" i="1"/>
  <c r="AT695" i="1"/>
  <c r="AT490" i="1" s="1"/>
  <c r="AX698" i="1"/>
  <c r="R694" i="1"/>
  <c r="AH694" i="1"/>
  <c r="AX694" i="1"/>
  <c r="J695" i="1"/>
  <c r="J490" i="1" s="1"/>
  <c r="V695" i="1"/>
  <c r="V490" i="1" s="1"/>
  <c r="AQ695" i="1"/>
  <c r="AQ490" i="1" s="1"/>
  <c r="AX695" i="1"/>
  <c r="AX490" i="1" s="1"/>
  <c r="S696" i="1"/>
  <c r="Z696" i="1"/>
  <c r="AH696" i="1"/>
  <c r="J697" i="1"/>
  <c r="AL697" i="1"/>
  <c r="H698" i="1"/>
  <c r="AH699" i="1"/>
  <c r="J713" i="1"/>
  <c r="J712" i="1"/>
  <c r="J711" i="1"/>
  <c r="J491" i="1" s="1"/>
  <c r="J715" i="1"/>
  <c r="N713" i="1"/>
  <c r="N712" i="1"/>
  <c r="N715" i="1"/>
  <c r="N711" i="1"/>
  <c r="N491" i="1" s="1"/>
  <c r="R713" i="1"/>
  <c r="R712" i="1"/>
  <c r="R711" i="1"/>
  <c r="R491" i="1" s="1"/>
  <c r="R715" i="1"/>
  <c r="V713" i="1"/>
  <c r="V712" i="1"/>
  <c r="V715" i="1"/>
  <c r="V711" i="1"/>
  <c r="V491" i="1" s="1"/>
  <c r="Z713" i="1"/>
  <c r="Z712" i="1"/>
  <c r="Z711" i="1"/>
  <c r="Z491" i="1" s="1"/>
  <c r="Z715" i="1"/>
  <c r="AD713" i="1"/>
  <c r="AD712" i="1"/>
  <c r="AD715" i="1"/>
  <c r="AD711" i="1"/>
  <c r="AD491" i="1" s="1"/>
  <c r="AH713" i="1"/>
  <c r="AH712" i="1"/>
  <c r="AH711" i="1"/>
  <c r="AH491" i="1" s="1"/>
  <c r="AH715" i="1"/>
  <c r="AL713" i="1"/>
  <c r="AL712" i="1"/>
  <c r="AL715" i="1"/>
  <c r="AL711" i="1"/>
  <c r="AL491" i="1" s="1"/>
  <c r="AP713" i="1"/>
  <c r="AP712" i="1"/>
  <c r="AP711" i="1"/>
  <c r="AP491" i="1" s="1"/>
  <c r="AP715" i="1"/>
  <c r="AT713" i="1"/>
  <c r="AT712" i="1"/>
  <c r="AT715" i="1"/>
  <c r="AT711" i="1"/>
  <c r="AT491" i="1" s="1"/>
  <c r="AX713" i="1"/>
  <c r="AX712" i="1"/>
  <c r="AX711" i="1"/>
  <c r="AX491" i="1" s="1"/>
  <c r="AX715" i="1"/>
  <c r="N710" i="1"/>
  <c r="AD710" i="1"/>
  <c r="AT710" i="1"/>
  <c r="R714" i="1"/>
  <c r="AH714" i="1"/>
  <c r="AX714" i="1"/>
  <c r="K730" i="1"/>
  <c r="AQ730" i="1"/>
  <c r="J633" i="1"/>
  <c r="N633" i="1"/>
  <c r="R633" i="1"/>
  <c r="V633" i="1"/>
  <c r="Z633" i="1"/>
  <c r="AD633" i="1"/>
  <c r="AH633" i="1"/>
  <c r="AL633" i="1"/>
  <c r="AP633" i="1"/>
  <c r="AT633" i="1"/>
  <c r="AX633" i="1"/>
  <c r="H651" i="1"/>
  <c r="L651" i="1"/>
  <c r="P651" i="1"/>
  <c r="T651" i="1"/>
  <c r="X651" i="1"/>
  <c r="AB651" i="1"/>
  <c r="AF651" i="1"/>
  <c r="AJ651" i="1"/>
  <c r="AN651" i="1"/>
  <c r="AR651" i="1"/>
  <c r="AV651" i="1"/>
  <c r="J670" i="1"/>
  <c r="N670" i="1"/>
  <c r="R670" i="1"/>
  <c r="V670" i="1"/>
  <c r="Z670" i="1"/>
  <c r="AD670" i="1"/>
  <c r="AH670" i="1"/>
  <c r="AL670" i="1"/>
  <c r="AP670" i="1"/>
  <c r="AT670" i="1"/>
  <c r="AX670" i="1"/>
  <c r="M688" i="1"/>
  <c r="M684" i="1"/>
  <c r="M489" i="1" s="1"/>
  <c r="Q688" i="1"/>
  <c r="Q684" i="1"/>
  <c r="Q489" i="1" s="1"/>
  <c r="U688" i="1"/>
  <c r="U684" i="1"/>
  <c r="U489" i="1" s="1"/>
  <c r="Y688" i="1"/>
  <c r="Y684" i="1"/>
  <c r="Y489" i="1" s="1"/>
  <c r="AC688" i="1"/>
  <c r="AC684" i="1"/>
  <c r="AC489" i="1" s="1"/>
  <c r="AG688" i="1"/>
  <c r="AG684" i="1"/>
  <c r="AG489" i="1" s="1"/>
  <c r="AK688" i="1"/>
  <c r="AK684" i="1"/>
  <c r="AK489" i="1" s="1"/>
  <c r="AO688" i="1"/>
  <c r="AO684" i="1"/>
  <c r="AO489" i="1" s="1"/>
  <c r="AS688" i="1"/>
  <c r="AS684" i="1"/>
  <c r="AS489" i="1" s="1"/>
  <c r="AW688" i="1"/>
  <c r="AW684" i="1"/>
  <c r="AW489" i="1" s="1"/>
  <c r="H683" i="1"/>
  <c r="L683" i="1"/>
  <c r="P683" i="1"/>
  <c r="T683" i="1"/>
  <c r="X683" i="1"/>
  <c r="AB683" i="1"/>
  <c r="AF683" i="1"/>
  <c r="AJ683" i="1"/>
  <c r="AN683" i="1"/>
  <c r="AR683" i="1"/>
  <c r="AV683" i="1"/>
  <c r="P684" i="1"/>
  <c r="P489" i="1" s="1"/>
  <c r="AF684" i="1"/>
  <c r="AF489" i="1" s="1"/>
  <c r="AV684" i="1"/>
  <c r="AV489" i="1" s="1"/>
  <c r="Y685" i="1"/>
  <c r="AO685" i="1"/>
  <c r="L686" i="1"/>
  <c r="Q686" i="1"/>
  <c r="AB686" i="1"/>
  <c r="AG686" i="1"/>
  <c r="AR686" i="1"/>
  <c r="AW686" i="1"/>
  <c r="T687" i="1"/>
  <c r="Y687" i="1"/>
  <c r="AJ687" i="1"/>
  <c r="AO687" i="1"/>
  <c r="L688" i="1"/>
  <c r="AB688" i="1"/>
  <c r="AR688" i="1"/>
  <c r="K697" i="1"/>
  <c r="K696" i="1"/>
  <c r="K695" i="1"/>
  <c r="K490" i="1" s="1"/>
  <c r="B490" i="1" s="1"/>
  <c r="O697" i="1"/>
  <c r="O699" i="1"/>
  <c r="O695" i="1"/>
  <c r="O490" i="1" s="1"/>
  <c r="S697" i="1"/>
  <c r="S695" i="1"/>
  <c r="S490" i="1" s="1"/>
  <c r="W697" i="1"/>
  <c r="W698" i="1"/>
  <c r="AA697" i="1"/>
  <c r="AA696" i="1"/>
  <c r="AE697" i="1"/>
  <c r="AE699" i="1"/>
  <c r="AI697" i="1"/>
  <c r="AI695" i="1"/>
  <c r="AI490" i="1" s="1"/>
  <c r="AM697" i="1"/>
  <c r="AM698" i="1"/>
  <c r="AQ697" i="1"/>
  <c r="AQ696" i="1"/>
  <c r="AU697" i="1"/>
  <c r="AU699" i="1"/>
  <c r="AY697" i="1"/>
  <c r="AY695" i="1"/>
  <c r="AY490" i="1" s="1"/>
  <c r="N694" i="1"/>
  <c r="S694" i="1"/>
  <c r="AD694" i="1"/>
  <c r="AI694" i="1"/>
  <c r="AT694" i="1"/>
  <c r="AY694" i="1"/>
  <c r="W695" i="1"/>
  <c r="W490" i="1" s="1"/>
  <c r="AE695" i="1"/>
  <c r="AE490" i="1" s="1"/>
  <c r="AL695" i="1"/>
  <c r="AL490" i="1" s="1"/>
  <c r="N696" i="1"/>
  <c r="AI696" i="1"/>
  <c r="AP696" i="1"/>
  <c r="AX696" i="1"/>
  <c r="R697" i="1"/>
  <c r="Z697" i="1"/>
  <c r="AE698" i="1"/>
  <c r="N699" i="1"/>
  <c r="V699" i="1"/>
  <c r="AI699" i="1"/>
  <c r="AQ699" i="1"/>
  <c r="AX699" i="1"/>
  <c r="K712" i="1"/>
  <c r="K715" i="1"/>
  <c r="K711" i="1"/>
  <c r="K491" i="1" s="1"/>
  <c r="K714" i="1"/>
  <c r="K710" i="1"/>
  <c r="O712" i="1"/>
  <c r="O715" i="1"/>
  <c r="O711" i="1"/>
  <c r="O491" i="1" s="1"/>
  <c r="O710" i="1"/>
  <c r="O714" i="1"/>
  <c r="S712" i="1"/>
  <c r="S715" i="1"/>
  <c r="S711" i="1"/>
  <c r="S491" i="1" s="1"/>
  <c r="S714" i="1"/>
  <c r="S710" i="1"/>
  <c r="W712" i="1"/>
  <c r="W715" i="1"/>
  <c r="W711" i="1"/>
  <c r="W491" i="1" s="1"/>
  <c r="W710" i="1"/>
  <c r="W714" i="1"/>
  <c r="AA712" i="1"/>
  <c r="AA715" i="1"/>
  <c r="AA711" i="1"/>
  <c r="AA491" i="1" s="1"/>
  <c r="AA714" i="1"/>
  <c r="AA710" i="1"/>
  <c r="AE712" i="1"/>
  <c r="AE715" i="1"/>
  <c r="AE711" i="1"/>
  <c r="AE491" i="1" s="1"/>
  <c r="AE710" i="1"/>
  <c r="AE714" i="1"/>
  <c r="AI712" i="1"/>
  <c r="AI715" i="1"/>
  <c r="AI711" i="1"/>
  <c r="AI491" i="1" s="1"/>
  <c r="AI714" i="1"/>
  <c r="AI710" i="1"/>
  <c r="AM712" i="1"/>
  <c r="AM715" i="1"/>
  <c r="AM711" i="1"/>
  <c r="AM491" i="1" s="1"/>
  <c r="AM710" i="1"/>
  <c r="AM714" i="1"/>
  <c r="AQ712" i="1"/>
  <c r="AQ715" i="1"/>
  <c r="AQ711" i="1"/>
  <c r="AQ491" i="1" s="1"/>
  <c r="AQ714" i="1"/>
  <c r="AQ710" i="1"/>
  <c r="AU712" i="1"/>
  <c r="AU715" i="1"/>
  <c r="AU711" i="1"/>
  <c r="AU491" i="1" s="1"/>
  <c r="AU710" i="1"/>
  <c r="AU714" i="1"/>
  <c r="AY712" i="1"/>
  <c r="AY715" i="1"/>
  <c r="AY711" i="1"/>
  <c r="AY491" i="1" s="1"/>
  <c r="AY714" i="1"/>
  <c r="AY710" i="1"/>
  <c r="R710" i="1"/>
  <c r="AH710" i="1"/>
  <c r="AX710" i="1"/>
  <c r="S713" i="1"/>
  <c r="AI713" i="1"/>
  <c r="AY713" i="1"/>
  <c r="V714" i="1"/>
  <c r="AL714" i="1"/>
  <c r="J730" i="1"/>
  <c r="J732" i="1"/>
  <c r="J729" i="1"/>
  <c r="J728" i="1"/>
  <c r="J492" i="1" s="1"/>
  <c r="J731" i="1"/>
  <c r="N730" i="1"/>
  <c r="N729" i="1"/>
  <c r="N727" i="1"/>
  <c r="N728" i="1"/>
  <c r="N492" i="1" s="1"/>
  <c r="R730" i="1"/>
  <c r="R732" i="1"/>
  <c r="R729" i="1"/>
  <c r="R728" i="1"/>
  <c r="R492" i="1" s="1"/>
  <c r="R731" i="1"/>
  <c r="V730" i="1"/>
  <c r="V729" i="1"/>
  <c r="V732" i="1"/>
  <c r="V727" i="1"/>
  <c r="V728" i="1"/>
  <c r="V492" i="1" s="1"/>
  <c r="Z730" i="1"/>
  <c r="Z732" i="1"/>
  <c r="Z729" i="1"/>
  <c r="Z728" i="1"/>
  <c r="Z492" i="1" s="1"/>
  <c r="Z731" i="1"/>
  <c r="AD730" i="1"/>
  <c r="AD729" i="1"/>
  <c r="AD727" i="1"/>
  <c r="AD728" i="1"/>
  <c r="AD492" i="1" s="1"/>
  <c r="AH731" i="1"/>
  <c r="AH730" i="1"/>
  <c r="AH732" i="1"/>
  <c r="AH729" i="1"/>
  <c r="AH728" i="1"/>
  <c r="AH492" i="1" s="1"/>
  <c r="AL731" i="1"/>
  <c r="AL730" i="1"/>
  <c r="AL729" i="1"/>
  <c r="AL732" i="1"/>
  <c r="AL727" i="1"/>
  <c r="AL728" i="1"/>
  <c r="AL492" i="1" s="1"/>
  <c r="AP731" i="1"/>
  <c r="AP730" i="1"/>
  <c r="AP732" i="1"/>
  <c r="AP729" i="1"/>
  <c r="AP728" i="1"/>
  <c r="AP492" i="1" s="1"/>
  <c r="AT731" i="1"/>
  <c r="AT730" i="1"/>
  <c r="AT729" i="1"/>
  <c r="AT727" i="1"/>
  <c r="AT728" i="1"/>
  <c r="AT492" i="1" s="1"/>
  <c r="AX731" i="1"/>
  <c r="AX730" i="1"/>
  <c r="AX732" i="1"/>
  <c r="AX729" i="1"/>
  <c r="AX728" i="1"/>
  <c r="AX492" i="1" s="1"/>
  <c r="Z727" i="1"/>
  <c r="AF729" i="1"/>
  <c r="S730" i="1"/>
  <c r="AY730" i="1"/>
  <c r="AQ731" i="1"/>
  <c r="U699" i="1"/>
  <c r="U695" i="1"/>
  <c r="U490" i="1" s="1"/>
  <c r="Y699" i="1"/>
  <c r="Y695" i="1"/>
  <c r="Y490" i="1" s="1"/>
  <c r="AC699" i="1"/>
  <c r="AC695" i="1"/>
  <c r="AC490" i="1" s="1"/>
  <c r="AG699" i="1"/>
  <c r="AG695" i="1"/>
  <c r="AG490" i="1" s="1"/>
  <c r="AK699" i="1"/>
  <c r="AK695" i="1"/>
  <c r="AK490" i="1" s="1"/>
  <c r="AO699" i="1"/>
  <c r="AO695" i="1"/>
  <c r="AO490" i="1" s="1"/>
  <c r="AS699" i="1"/>
  <c r="AS695" i="1"/>
  <c r="AS490" i="1" s="1"/>
  <c r="AW699" i="1"/>
  <c r="AW695" i="1"/>
  <c r="AW490" i="1" s="1"/>
  <c r="Q696" i="1"/>
  <c r="AG696" i="1"/>
  <c r="AW696" i="1"/>
  <c r="Y697" i="1"/>
  <c r="AO697" i="1"/>
  <c r="Q698" i="1"/>
  <c r="AG698" i="1"/>
  <c r="AW698" i="1"/>
  <c r="H715" i="1"/>
  <c r="H711" i="1"/>
  <c r="H491" i="1" s="1"/>
  <c r="H714" i="1"/>
  <c r="H710" i="1"/>
  <c r="H713" i="1"/>
  <c r="M732" i="1"/>
  <c r="M731" i="1"/>
  <c r="M727" i="1"/>
  <c r="M730" i="1"/>
  <c r="M729" i="1"/>
  <c r="Q732" i="1"/>
  <c r="Q731" i="1"/>
  <c r="Q727" i="1"/>
  <c r="Q730" i="1"/>
  <c r="Q728" i="1"/>
  <c r="Q492" i="1" s="1"/>
  <c r="U732" i="1"/>
  <c r="U731" i="1"/>
  <c r="U727" i="1"/>
  <c r="U730" i="1"/>
  <c r="U729" i="1"/>
  <c r="Y732" i="1"/>
  <c r="Y731" i="1"/>
  <c r="Y727" i="1"/>
  <c r="Y730" i="1"/>
  <c r="Y728" i="1"/>
  <c r="Y492" i="1" s="1"/>
  <c r="AC732" i="1"/>
  <c r="AC731" i="1"/>
  <c r="AC727" i="1"/>
  <c r="AC730" i="1"/>
  <c r="AC729" i="1"/>
  <c r="AG732" i="1"/>
  <c r="AG727" i="1"/>
  <c r="AG731" i="1"/>
  <c r="AG730" i="1"/>
  <c r="AG728" i="1"/>
  <c r="AG492" i="1" s="1"/>
  <c r="AK732" i="1"/>
  <c r="AK727" i="1"/>
  <c r="AK730" i="1"/>
  <c r="AK731" i="1"/>
  <c r="AK729" i="1"/>
  <c r="AO732" i="1"/>
  <c r="AO731" i="1"/>
  <c r="AO727" i="1"/>
  <c r="AO730" i="1"/>
  <c r="AO728" i="1"/>
  <c r="AO492" i="1" s="1"/>
  <c r="AS732" i="1"/>
  <c r="AS727" i="1"/>
  <c r="AS730" i="1"/>
  <c r="AS729" i="1"/>
  <c r="AW732" i="1"/>
  <c r="AW731" i="1"/>
  <c r="AW727" i="1"/>
  <c r="AW730" i="1"/>
  <c r="AW728" i="1"/>
  <c r="AW492" i="1" s="1"/>
  <c r="Q729" i="1"/>
  <c r="AG729" i="1"/>
  <c r="AW729" i="1"/>
  <c r="AS731" i="1"/>
  <c r="M713" i="1"/>
  <c r="Q713" i="1"/>
  <c r="U713" i="1"/>
  <c r="Y713" i="1"/>
  <c r="AC713" i="1"/>
  <c r="AG713" i="1"/>
  <c r="AK713" i="1"/>
  <c r="AO713" i="1"/>
  <c r="AS713" i="1"/>
  <c r="AW713" i="1"/>
  <c r="G732" i="1"/>
  <c r="G729" i="1"/>
  <c r="G728" i="1"/>
  <c r="G492" i="1" s="1"/>
  <c r="K732" i="1"/>
  <c r="K729" i="1"/>
  <c r="K728" i="1"/>
  <c r="K492" i="1" s="1"/>
  <c r="B492" i="1" s="1"/>
  <c r="O732" i="1"/>
  <c r="O729" i="1"/>
  <c r="O728" i="1"/>
  <c r="O492" i="1" s="1"/>
  <c r="S732" i="1"/>
  <c r="S729" i="1"/>
  <c r="S728" i="1"/>
  <c r="S492" i="1" s="1"/>
  <c r="W732" i="1"/>
  <c r="W729" i="1"/>
  <c r="W728" i="1"/>
  <c r="W492" i="1" s="1"/>
  <c r="AA732" i="1"/>
  <c r="AA729" i="1"/>
  <c r="AA728" i="1"/>
  <c r="AA492" i="1" s="1"/>
  <c r="AE732" i="1"/>
  <c r="AE729" i="1"/>
  <c r="AE728" i="1"/>
  <c r="AE492" i="1" s="1"/>
  <c r="AI732" i="1"/>
  <c r="AI729" i="1"/>
  <c r="AI728" i="1"/>
  <c r="AI492" i="1" s="1"/>
  <c r="AM732" i="1"/>
  <c r="AM729" i="1"/>
  <c r="AM731" i="1"/>
  <c r="AM728" i="1"/>
  <c r="AM492" i="1" s="1"/>
  <c r="AQ732" i="1"/>
  <c r="AQ729" i="1"/>
  <c r="AQ728" i="1"/>
  <c r="AQ492" i="1" s="1"/>
  <c r="AU732" i="1"/>
  <c r="AU729" i="1"/>
  <c r="AU731" i="1"/>
  <c r="AU728" i="1"/>
  <c r="AU492" i="1" s="1"/>
  <c r="AY732" i="1"/>
  <c r="AY729" i="1"/>
  <c r="AY728" i="1"/>
  <c r="AY492" i="1" s="1"/>
  <c r="G730" i="1"/>
  <c r="O730" i="1"/>
  <c r="W730" i="1"/>
  <c r="AE730" i="1"/>
  <c r="AM730" i="1"/>
  <c r="AU730" i="1"/>
  <c r="AI731" i="1"/>
  <c r="AY731" i="1"/>
  <c r="M710" i="1"/>
  <c r="Q710" i="1"/>
  <c r="U710" i="1"/>
  <c r="Y710" i="1"/>
  <c r="AC710" i="1"/>
  <c r="AG710" i="1"/>
  <c r="AK710" i="1"/>
  <c r="AO710" i="1"/>
  <c r="AS710" i="1"/>
  <c r="AW710" i="1"/>
  <c r="H728" i="1"/>
  <c r="H492" i="1" s="1"/>
  <c r="H731" i="1"/>
  <c r="H727" i="1"/>
  <c r="L732" i="1"/>
  <c r="L728" i="1"/>
  <c r="L492" i="1" s="1"/>
  <c r="L731" i="1"/>
  <c r="L727" i="1"/>
  <c r="P728" i="1"/>
  <c r="P492" i="1" s="1"/>
  <c r="P731" i="1"/>
  <c r="P727" i="1"/>
  <c r="T732" i="1"/>
  <c r="T728" i="1"/>
  <c r="T492" i="1" s="1"/>
  <c r="T731" i="1"/>
  <c r="T727" i="1"/>
  <c r="X728" i="1"/>
  <c r="X492" i="1" s="1"/>
  <c r="X731" i="1"/>
  <c r="X727" i="1"/>
  <c r="AB732" i="1"/>
  <c r="AB728" i="1"/>
  <c r="AB492" i="1" s="1"/>
  <c r="AB731" i="1"/>
  <c r="AB727" i="1"/>
  <c r="AF731" i="1"/>
  <c r="AF728" i="1"/>
  <c r="AF492" i="1" s="1"/>
  <c r="AF727" i="1"/>
  <c r="AJ731" i="1"/>
  <c r="AJ732" i="1"/>
  <c r="AJ728" i="1"/>
  <c r="AJ492" i="1" s="1"/>
  <c r="AJ727" i="1"/>
  <c r="AN731" i="1"/>
  <c r="AN728" i="1"/>
  <c r="AN492" i="1" s="1"/>
  <c r="AN727" i="1"/>
  <c r="AR731" i="1"/>
  <c r="AR732" i="1"/>
  <c r="AR728" i="1"/>
  <c r="AR492" i="1" s="1"/>
  <c r="AR727" i="1"/>
  <c r="AV731" i="1"/>
  <c r="AV728" i="1"/>
  <c r="AV492" i="1" s="1"/>
  <c r="AV727" i="1"/>
  <c r="G727" i="1"/>
  <c r="O727" i="1"/>
  <c r="W727" i="1"/>
  <c r="AE727" i="1"/>
  <c r="AM727" i="1"/>
  <c r="AU727" i="1"/>
  <c r="H730" i="1"/>
  <c r="P730" i="1"/>
  <c r="X730" i="1"/>
  <c r="AF730" i="1"/>
  <c r="AN730" i="1"/>
  <c r="AV730" i="1"/>
  <c r="K731" i="1"/>
  <c r="S731" i="1"/>
  <c r="AA731" i="1"/>
  <c r="H732" i="1"/>
  <c r="X732" i="1"/>
  <c r="AN732" i="1"/>
  <c r="J740" i="1"/>
  <c r="J742" i="1"/>
  <c r="J738" i="1"/>
  <c r="J743" i="1"/>
  <c r="J741" i="1"/>
  <c r="N740" i="1"/>
  <c r="N742" i="1"/>
  <c r="N738" i="1"/>
  <c r="N739" i="1"/>
  <c r="N493" i="1" s="1"/>
  <c r="R740" i="1"/>
  <c r="R742" i="1"/>
  <c r="R738" i="1"/>
  <c r="R743" i="1"/>
  <c r="R741" i="1"/>
  <c r="V740" i="1"/>
  <c r="V742" i="1"/>
  <c r="V738" i="1"/>
  <c r="V739" i="1"/>
  <c r="V493" i="1" s="1"/>
  <c r="Z740" i="1"/>
  <c r="Z742" i="1"/>
  <c r="Z738" i="1"/>
  <c r="Z743" i="1"/>
  <c r="Z741" i="1"/>
  <c r="AD740" i="1"/>
  <c r="AD742" i="1"/>
  <c r="AD738" i="1"/>
  <c r="AD739" i="1"/>
  <c r="AD493" i="1" s="1"/>
  <c r="AH740" i="1"/>
  <c r="AH742" i="1"/>
  <c r="AH738" i="1"/>
  <c r="AH743" i="1"/>
  <c r="AH741" i="1"/>
  <c r="AL740" i="1"/>
  <c r="AL742" i="1"/>
  <c r="AL738" i="1"/>
  <c r="AL739" i="1"/>
  <c r="AL493" i="1" s="1"/>
  <c r="AP740" i="1"/>
  <c r="AP742" i="1"/>
  <c r="AP738" i="1"/>
  <c r="AP743" i="1"/>
  <c r="AP741" i="1"/>
  <c r="AT740" i="1"/>
  <c r="AT742" i="1"/>
  <c r="AT738" i="1"/>
  <c r="AT739" i="1"/>
  <c r="AT493" i="1" s="1"/>
  <c r="AX740" i="1"/>
  <c r="AX742" i="1"/>
  <c r="AX738" i="1"/>
  <c r="AX743" i="1"/>
  <c r="AX741" i="1"/>
  <c r="J739" i="1"/>
  <c r="J493" i="1" s="1"/>
  <c r="Z739" i="1"/>
  <c r="Z493" i="1" s="1"/>
  <c r="AP739" i="1"/>
  <c r="AP493" i="1" s="1"/>
  <c r="V741" i="1"/>
  <c r="AL741" i="1"/>
  <c r="N743" i="1"/>
  <c r="AD743" i="1"/>
  <c r="AT743" i="1"/>
  <c r="L742" i="1"/>
  <c r="L738" i="1"/>
  <c r="L740" i="1"/>
  <c r="P742" i="1"/>
  <c r="P738" i="1"/>
  <c r="P740" i="1"/>
  <c r="T742" i="1"/>
  <c r="T738" i="1"/>
  <c r="T740" i="1"/>
  <c r="X742" i="1"/>
  <c r="X738" i="1"/>
  <c r="X740" i="1"/>
  <c r="AB742" i="1"/>
  <c r="AB738" i="1"/>
  <c r="AB740" i="1"/>
  <c r="AF742" i="1"/>
  <c r="AF738" i="1"/>
  <c r="AF740" i="1"/>
  <c r="AJ742" i="1"/>
  <c r="AJ738" i="1"/>
  <c r="AJ740" i="1"/>
  <c r="AN742" i="1"/>
  <c r="AN738" i="1"/>
  <c r="AN740" i="1"/>
  <c r="AR742" i="1"/>
  <c r="AR738" i="1"/>
  <c r="AR740" i="1"/>
  <c r="AV742" i="1"/>
  <c r="AV738" i="1"/>
  <c r="AV740" i="1"/>
  <c r="L739" i="1"/>
  <c r="L493" i="1" s="1"/>
  <c r="T739" i="1"/>
  <c r="T493" i="1" s="1"/>
  <c r="AB739" i="1"/>
  <c r="AB493" i="1" s="1"/>
  <c r="AJ739" i="1"/>
  <c r="AJ493" i="1" s="1"/>
  <c r="AR739" i="1"/>
  <c r="AR493" i="1" s="1"/>
  <c r="P743" i="1"/>
  <c r="X743" i="1"/>
  <c r="AF743" i="1"/>
  <c r="AN743" i="1"/>
  <c r="AV743" i="1"/>
  <c r="H742" i="1"/>
  <c r="H738" i="1"/>
  <c r="H740" i="1"/>
  <c r="L741" i="1"/>
  <c r="T741" i="1"/>
  <c r="AB741" i="1"/>
  <c r="AJ741" i="1"/>
  <c r="AR741" i="1"/>
  <c r="M739" i="1"/>
  <c r="M493" i="1" s="1"/>
  <c r="Q739" i="1"/>
  <c r="Q493" i="1" s="1"/>
  <c r="U739" i="1"/>
  <c r="U493" i="1" s="1"/>
  <c r="Y739" i="1"/>
  <c r="Y493" i="1" s="1"/>
  <c r="AC739" i="1"/>
  <c r="AC493" i="1" s="1"/>
  <c r="AG739" i="1"/>
  <c r="AG493" i="1" s="1"/>
  <c r="AK739" i="1"/>
  <c r="AK493" i="1" s="1"/>
  <c r="AO739" i="1"/>
  <c r="AO493" i="1" s="1"/>
  <c r="AS739" i="1"/>
  <c r="AS493" i="1" s="1"/>
  <c r="AW739" i="1"/>
  <c r="AW493" i="1" s="1"/>
  <c r="G741" i="1"/>
  <c r="K741" i="1"/>
  <c r="O741" i="1"/>
  <c r="S741" i="1"/>
  <c r="W741" i="1"/>
  <c r="AA741" i="1"/>
  <c r="AE741" i="1"/>
  <c r="AI741" i="1"/>
  <c r="AM741" i="1"/>
  <c r="AQ741" i="1"/>
  <c r="AU741" i="1"/>
  <c r="AY741" i="1"/>
  <c r="M743" i="1"/>
  <c r="Q743" i="1"/>
  <c r="U743" i="1"/>
  <c r="Y743" i="1"/>
  <c r="AC743" i="1"/>
  <c r="AG743" i="1"/>
  <c r="AK743" i="1"/>
  <c r="AO743" i="1"/>
  <c r="AS743" i="1"/>
  <c r="AW743" i="1"/>
  <c r="G739" i="1"/>
  <c r="G493" i="1" s="1"/>
  <c r="K739" i="1"/>
  <c r="K493" i="1" s="1"/>
  <c r="B493" i="1" s="1"/>
  <c r="O739" i="1"/>
  <c r="O493" i="1" s="1"/>
  <c r="S739" i="1"/>
  <c r="S493" i="1" s="1"/>
  <c r="W739" i="1"/>
  <c r="W493" i="1" s="1"/>
  <c r="AA739" i="1"/>
  <c r="AA493" i="1" s="1"/>
  <c r="AE739" i="1"/>
  <c r="AE493" i="1" s="1"/>
  <c r="AI739" i="1"/>
  <c r="AI493" i="1" s="1"/>
  <c r="AM739" i="1"/>
  <c r="AM493" i="1" s="1"/>
  <c r="AQ739" i="1"/>
  <c r="AQ493" i="1" s="1"/>
  <c r="AU739" i="1"/>
  <c r="AU493" i="1" s="1"/>
  <c r="AY739" i="1"/>
  <c r="AY493" i="1" s="1"/>
  <c r="B489" i="1" l="1"/>
  <c r="B480" i="1"/>
  <c r="B479" i="1"/>
  <c r="B488" i="1"/>
  <c r="B483" i="1"/>
  <c r="B486" i="1"/>
  <c r="B484" i="1"/>
  <c r="B482" i="1"/>
  <c r="B491" i="1"/>
  <c r="B485" i="1"/>
  <c r="M7" i="7"/>
  <c r="AD141" i="7"/>
  <c r="AD133" i="7"/>
  <c r="AD142" i="7"/>
  <c r="AC139" i="7"/>
  <c r="H139" i="7" s="1"/>
  <c r="AC140" i="7"/>
  <c r="AE142" i="7"/>
  <c r="AF139" i="7"/>
  <c r="AF140" i="7"/>
  <c r="T7" i="7"/>
  <c r="AF141" i="7"/>
  <c r="AF142" i="7"/>
  <c r="Q10" i="7"/>
  <c r="AE139" i="7"/>
  <c r="AC141" i="7"/>
  <c r="AE141" i="7"/>
  <c r="AC142" i="7"/>
  <c r="H5" i="7"/>
  <c r="M10" i="7"/>
  <c r="AD139" i="7"/>
  <c r="M30" i="7"/>
  <c r="AD140" i="7"/>
  <c r="Q30" i="7"/>
  <c r="AE140" i="7"/>
  <c r="H463" i="1"/>
  <c r="I8" i="2"/>
  <c r="G463" i="1"/>
  <c r="I7" i="2"/>
  <c r="G466" i="1"/>
  <c r="L7" i="2"/>
  <c r="H466" i="1"/>
  <c r="L8" i="2"/>
  <c r="G465" i="1"/>
  <c r="K7" i="2"/>
  <c r="G464" i="1"/>
  <c r="J7" i="2"/>
  <c r="H465" i="1"/>
  <c r="K8" i="2"/>
  <c r="H464" i="1"/>
  <c r="J8" i="2"/>
  <c r="I200" i="1"/>
  <c r="I176" i="1"/>
  <c r="I604" i="1"/>
  <c r="I306" i="1"/>
  <c r="I305" i="1"/>
  <c r="I179" i="1"/>
  <c r="AP494" i="1"/>
  <c r="Z494" i="1"/>
  <c r="I177" i="1"/>
  <c r="I307" i="1"/>
  <c r="I602" i="1"/>
  <c r="I603" i="1"/>
  <c r="I484" i="1" s="1"/>
  <c r="I174" i="1"/>
  <c r="I199" i="1"/>
  <c r="AQ494" i="1"/>
  <c r="T494" i="1"/>
  <c r="AH494" i="1"/>
  <c r="I197" i="1"/>
  <c r="I457" i="1" s="1"/>
  <c r="I464" i="1" s="1"/>
  <c r="AU494" i="1"/>
  <c r="AE494" i="1"/>
  <c r="O494" i="1"/>
  <c r="AS494" i="1"/>
  <c r="AC494" i="1"/>
  <c r="M494" i="1"/>
  <c r="AN494" i="1"/>
  <c r="X494" i="1"/>
  <c r="H494" i="1"/>
  <c r="AL494" i="1"/>
  <c r="AD494" i="1"/>
  <c r="I606" i="1"/>
  <c r="I699" i="1"/>
  <c r="I697" i="1"/>
  <c r="I698" i="1"/>
  <c r="I694" i="1"/>
  <c r="I695" i="1"/>
  <c r="I490" i="1" s="1"/>
  <c r="I696" i="1"/>
  <c r="I741" i="1"/>
  <c r="I743" i="1"/>
  <c r="I739" i="1"/>
  <c r="I493" i="1" s="1"/>
  <c r="I740" i="1"/>
  <c r="I738" i="1"/>
  <c r="I742" i="1"/>
  <c r="I477" i="1"/>
  <c r="I468" i="1"/>
  <c r="I302" i="1"/>
  <c r="I178" i="1"/>
  <c r="I591" i="1"/>
  <c r="I590" i="1"/>
  <c r="I593" i="1"/>
  <c r="I589" i="1"/>
  <c r="I483" i="1" s="1"/>
  <c r="I592" i="1"/>
  <c r="I588" i="1"/>
  <c r="I228" i="1"/>
  <c r="I229" i="1"/>
  <c r="I225" i="1"/>
  <c r="I226" i="1"/>
  <c r="I458" i="1" s="1"/>
  <c r="I465" i="1" s="1"/>
  <c r="I227" i="1"/>
  <c r="I230" i="1"/>
  <c r="I198" i="1"/>
  <c r="I621" i="1"/>
  <c r="I620" i="1"/>
  <c r="I622" i="1"/>
  <c r="I623" i="1"/>
  <c r="I618" i="1"/>
  <c r="I619" i="1"/>
  <c r="I485" i="1" s="1"/>
  <c r="AA494" i="1"/>
  <c r="AO494" i="1"/>
  <c r="Y494" i="1"/>
  <c r="AJ494" i="1"/>
  <c r="AM494" i="1"/>
  <c r="W494" i="1"/>
  <c r="G494" i="1"/>
  <c r="AK494" i="1"/>
  <c r="U494" i="1"/>
  <c r="AV494" i="1"/>
  <c r="AF494" i="1"/>
  <c r="P494" i="1"/>
  <c r="J494" i="1"/>
  <c r="AT494" i="1"/>
  <c r="V494" i="1"/>
  <c r="N494" i="1"/>
  <c r="I605" i="1"/>
  <c r="I607" i="1"/>
  <c r="I714" i="1"/>
  <c r="I710" i="1"/>
  <c r="I713" i="1"/>
  <c r="I712" i="1"/>
  <c r="I715" i="1"/>
  <c r="I711" i="1"/>
  <c r="I491" i="1" s="1"/>
  <c r="I654" i="1"/>
  <c r="I653" i="1"/>
  <c r="I656" i="1"/>
  <c r="I651" i="1"/>
  <c r="I655" i="1"/>
  <c r="I652" i="1"/>
  <c r="I487" i="1" s="1"/>
  <c r="I732" i="1"/>
  <c r="I731" i="1"/>
  <c r="I727" i="1"/>
  <c r="I730" i="1"/>
  <c r="I728" i="1"/>
  <c r="I492" i="1" s="1"/>
  <c r="I729" i="1"/>
  <c r="I303" i="1"/>
  <c r="I459" i="1" s="1"/>
  <c r="I466" i="1" s="1"/>
  <c r="I540" i="1"/>
  <c r="I539" i="1"/>
  <c r="I481" i="1" s="1"/>
  <c r="I543" i="1"/>
  <c r="I541" i="1"/>
  <c r="I538" i="1"/>
  <c r="I542" i="1"/>
  <c r="I175" i="1"/>
  <c r="I456" i="1" s="1"/>
  <c r="I463" i="1" s="1"/>
  <c r="I476" i="1"/>
  <c r="I196" i="1"/>
  <c r="I201" i="1"/>
  <c r="K494" i="1"/>
  <c r="I675" i="1"/>
  <c r="I671" i="1"/>
  <c r="I488" i="1" s="1"/>
  <c r="I674" i="1"/>
  <c r="I670" i="1"/>
  <c r="I672" i="1"/>
  <c r="I673" i="1"/>
  <c r="I638" i="1"/>
  <c r="I634" i="1"/>
  <c r="I486" i="1" s="1"/>
  <c r="I637" i="1"/>
  <c r="I633" i="1"/>
  <c r="I635" i="1"/>
  <c r="I636" i="1"/>
  <c r="AY494" i="1"/>
  <c r="AI494" i="1"/>
  <c r="S494" i="1"/>
  <c r="AW494" i="1"/>
  <c r="AG494" i="1"/>
  <c r="Q494" i="1"/>
  <c r="AR494" i="1"/>
  <c r="AB494" i="1"/>
  <c r="L494" i="1"/>
  <c r="AX494" i="1"/>
  <c r="R494" i="1"/>
  <c r="I452" i="1"/>
  <c r="I454" i="1"/>
  <c r="I450" i="1"/>
  <c r="I461" i="1" s="1"/>
  <c r="I453" i="1"/>
  <c r="I449" i="1"/>
  <c r="I451" i="1"/>
  <c r="I528" i="1"/>
  <c r="I524" i="1"/>
  <c r="I527" i="1"/>
  <c r="I525" i="1"/>
  <c r="I480" i="1" s="1"/>
  <c r="I529" i="1"/>
  <c r="I526" i="1"/>
  <c r="I576" i="1"/>
  <c r="I572" i="1"/>
  <c r="I482" i="1" s="1"/>
  <c r="I575" i="1"/>
  <c r="I571" i="1"/>
  <c r="I573" i="1"/>
  <c r="I574" i="1"/>
  <c r="I304" i="1"/>
  <c r="I402" i="1"/>
  <c r="I398" i="1"/>
  <c r="I460" i="1" s="1"/>
  <c r="I400" i="1"/>
  <c r="I399" i="1"/>
  <c r="I401" i="1"/>
  <c r="I397" i="1"/>
  <c r="I688" i="1"/>
  <c r="I687" i="1"/>
  <c r="I685" i="1"/>
  <c r="I686" i="1"/>
  <c r="I684" i="1"/>
  <c r="I489" i="1" s="1"/>
  <c r="I683" i="1"/>
  <c r="I507" i="1"/>
  <c r="I509" i="1"/>
  <c r="I505" i="1"/>
  <c r="I479" i="1" s="1"/>
  <c r="I508" i="1"/>
  <c r="I504" i="1"/>
  <c r="I506" i="1"/>
  <c r="I494" i="1" l="1"/>
  <c r="AA6" i="6" l="1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15" i="6"/>
  <c r="AA116" i="6"/>
  <c r="AA117" i="6"/>
  <c r="AA118" i="6"/>
  <c r="AA119" i="6"/>
  <c r="AA120" i="6"/>
  <c r="AA121" i="6"/>
  <c r="AA122" i="6"/>
  <c r="AA123" i="6"/>
  <c r="AA124" i="6"/>
  <c r="AA125" i="6"/>
  <c r="AA126" i="6"/>
  <c r="AA127" i="6"/>
  <c r="AA128" i="6"/>
  <c r="AA129" i="6"/>
  <c r="AA130" i="6"/>
  <c r="AA131" i="6"/>
  <c r="AA132" i="6"/>
  <c r="AG5" i="6"/>
  <c r="AF5" i="6"/>
  <c r="AE5" i="6"/>
  <c r="AD5" i="6"/>
  <c r="AC5" i="6"/>
  <c r="AA5" i="6"/>
  <c r="AA140" i="6"/>
  <c r="Y140" i="6"/>
  <c r="X140" i="6"/>
  <c r="W140" i="6"/>
  <c r="U140" i="6"/>
  <c r="T140" i="6"/>
  <c r="R140" i="6"/>
  <c r="Q140" i="6"/>
  <c r="P140" i="6"/>
  <c r="N140" i="6"/>
  <c r="M140" i="6"/>
  <c r="K140" i="6"/>
  <c r="J140" i="6"/>
  <c r="H140" i="6"/>
  <c r="G140" i="6"/>
  <c r="F140" i="6"/>
  <c r="AA139" i="6"/>
  <c r="Y139" i="6"/>
  <c r="X139" i="6"/>
  <c r="W139" i="6"/>
  <c r="U139" i="6"/>
  <c r="T139" i="6"/>
  <c r="R139" i="6"/>
  <c r="Q139" i="6"/>
  <c r="P139" i="6"/>
  <c r="N139" i="6"/>
  <c r="M139" i="6"/>
  <c r="K139" i="6"/>
  <c r="J139" i="6"/>
  <c r="H139" i="6"/>
  <c r="G139" i="6"/>
  <c r="F139" i="6"/>
  <c r="AA138" i="6"/>
  <c r="Y138" i="6"/>
  <c r="X138" i="6"/>
  <c r="W138" i="6"/>
  <c r="U138" i="6"/>
  <c r="T138" i="6"/>
  <c r="R138" i="6"/>
  <c r="Q138" i="6"/>
  <c r="P138" i="6"/>
  <c r="N138" i="6"/>
  <c r="M138" i="6"/>
  <c r="K138" i="6"/>
  <c r="J138" i="6"/>
  <c r="H138" i="6"/>
  <c r="G138" i="6"/>
  <c r="F138" i="6"/>
  <c r="AA137" i="6"/>
  <c r="Y137" i="6"/>
  <c r="X137" i="6"/>
  <c r="W137" i="6"/>
  <c r="U137" i="6"/>
  <c r="T137" i="6"/>
  <c r="R137" i="6"/>
  <c r="Q137" i="6"/>
  <c r="P137" i="6"/>
  <c r="N137" i="6"/>
  <c r="M137" i="6"/>
  <c r="K137" i="6"/>
  <c r="J137" i="6"/>
  <c r="H137" i="6"/>
  <c r="G137" i="6"/>
  <c r="F137" i="6"/>
  <c r="P140" i="5"/>
  <c r="O140" i="5"/>
  <c r="N140" i="5"/>
  <c r="L140" i="5"/>
  <c r="K140" i="5"/>
  <c r="J140" i="5"/>
  <c r="H140" i="5"/>
  <c r="G140" i="5"/>
  <c r="F140" i="5"/>
  <c r="P139" i="5"/>
  <c r="O139" i="5"/>
  <c r="N139" i="5"/>
  <c r="L139" i="5"/>
  <c r="K139" i="5"/>
  <c r="J139" i="5"/>
  <c r="H139" i="5"/>
  <c r="G139" i="5"/>
  <c r="F139" i="5"/>
  <c r="P138" i="5"/>
  <c r="O138" i="5"/>
  <c r="N138" i="5"/>
  <c r="L138" i="5"/>
  <c r="K138" i="5"/>
  <c r="J138" i="5"/>
  <c r="H138" i="5"/>
  <c r="G138" i="5"/>
  <c r="F138" i="5"/>
  <c r="P137" i="5"/>
  <c r="O137" i="5"/>
  <c r="N137" i="5"/>
  <c r="L137" i="5"/>
  <c r="K137" i="5"/>
  <c r="J137" i="5"/>
  <c r="H137" i="5"/>
  <c r="G137" i="5"/>
  <c r="F137" i="5"/>
  <c r="R5" i="4" l="1"/>
  <c r="E144" i="4" l="1"/>
  <c r="P140" i="4"/>
  <c r="O140" i="4"/>
  <c r="N140" i="4"/>
  <c r="L140" i="4"/>
  <c r="K140" i="4"/>
  <c r="J140" i="4"/>
  <c r="H140" i="4"/>
  <c r="G140" i="4"/>
  <c r="F140" i="4"/>
  <c r="P139" i="4"/>
  <c r="O139" i="4"/>
  <c r="N139" i="4"/>
  <c r="L139" i="4"/>
  <c r="K139" i="4"/>
  <c r="J139" i="4"/>
  <c r="H139" i="4"/>
  <c r="G139" i="4"/>
  <c r="F139" i="4"/>
  <c r="P138" i="4"/>
  <c r="O138" i="4"/>
  <c r="N138" i="4"/>
  <c r="L138" i="4"/>
  <c r="K138" i="4"/>
  <c r="J138" i="4"/>
  <c r="H138" i="4"/>
  <c r="G138" i="4"/>
  <c r="F138" i="4"/>
  <c r="P137" i="4"/>
  <c r="O137" i="4"/>
  <c r="N137" i="4"/>
  <c r="L137" i="4"/>
  <c r="K137" i="4"/>
  <c r="J137" i="4"/>
  <c r="H137" i="4"/>
  <c r="G137" i="4"/>
  <c r="F137" i="4"/>
  <c r="E137" i="4"/>
  <c r="AI135" i="3" l="1"/>
  <c r="V139" i="8"/>
  <c r="W139" i="8" s="1"/>
  <c r="V138" i="8"/>
  <c r="W138" i="8" s="1"/>
  <c r="V137" i="8"/>
  <c r="W137" i="8" s="1"/>
  <c r="V136" i="8"/>
  <c r="W136" i="8" l="1"/>
  <c r="V141" i="8"/>
  <c r="G138" i="8"/>
  <c r="K138" i="8"/>
  <c r="G35" i="7"/>
  <c r="T162" i="4" l="1"/>
  <c r="S162" i="4"/>
  <c r="R162" i="4"/>
  <c r="T161" i="4"/>
  <c r="S161" i="4"/>
  <c r="R161" i="4"/>
  <c r="T160" i="4"/>
  <c r="S160" i="4"/>
  <c r="R160" i="4"/>
  <c r="T159" i="4"/>
  <c r="S159" i="4"/>
  <c r="R159" i="4"/>
  <c r="T157" i="4"/>
  <c r="S157" i="4"/>
  <c r="R157" i="4"/>
  <c r="R152" i="4"/>
  <c r="S152" i="4"/>
  <c r="T152" i="4"/>
  <c r="R153" i="4"/>
  <c r="S153" i="4"/>
  <c r="T153" i="4"/>
  <c r="R154" i="4"/>
  <c r="S154" i="4"/>
  <c r="T154" i="4"/>
  <c r="R155" i="4"/>
  <c r="S155" i="4"/>
  <c r="T155" i="4"/>
  <c r="S150" i="4"/>
  <c r="T150" i="4"/>
  <c r="R150" i="4"/>
  <c r="T162" i="5" l="1"/>
  <c r="S162" i="5"/>
  <c r="R162" i="5"/>
  <c r="T161" i="5"/>
  <c r="S161" i="5"/>
  <c r="R161" i="5"/>
  <c r="T160" i="5"/>
  <c r="S160" i="5"/>
  <c r="R160" i="5"/>
  <c r="T159" i="5"/>
  <c r="S159" i="5"/>
  <c r="R159" i="5"/>
  <c r="T157" i="5"/>
  <c r="S157" i="5"/>
  <c r="R157" i="5"/>
  <c r="T155" i="5"/>
  <c r="S155" i="5"/>
  <c r="R155" i="5"/>
  <c r="T154" i="5"/>
  <c r="S154" i="5"/>
  <c r="R154" i="5"/>
  <c r="T153" i="5"/>
  <c r="S153" i="5"/>
  <c r="R153" i="5"/>
  <c r="T152" i="5"/>
  <c r="S152" i="5"/>
  <c r="R152" i="5"/>
  <c r="S150" i="5"/>
  <c r="T150" i="5"/>
  <c r="R150" i="5"/>
  <c r="F45" i="3" l="1"/>
  <c r="G45" i="3"/>
  <c r="H45" i="3"/>
  <c r="I45" i="3"/>
  <c r="J45" i="3"/>
  <c r="K45" i="3"/>
  <c r="AF6" i="6" l="1"/>
  <c r="AG6" i="6"/>
  <c r="AF7" i="6"/>
  <c r="AG7" i="6"/>
  <c r="AF8" i="6"/>
  <c r="AG8" i="6"/>
  <c r="AF9" i="6"/>
  <c r="AG9" i="6"/>
  <c r="AF10" i="6"/>
  <c r="AG10" i="6"/>
  <c r="AF11" i="6"/>
  <c r="AG11" i="6"/>
  <c r="AF12" i="6"/>
  <c r="AG12" i="6"/>
  <c r="AF13" i="6"/>
  <c r="AG13" i="6"/>
  <c r="AF14" i="6"/>
  <c r="AG14" i="6"/>
  <c r="AF15" i="6"/>
  <c r="AG15" i="6"/>
  <c r="AF16" i="6"/>
  <c r="AG16" i="6"/>
  <c r="AF17" i="6"/>
  <c r="AG17" i="6"/>
  <c r="AF18" i="6"/>
  <c r="AG18" i="6"/>
  <c r="AF19" i="6"/>
  <c r="AG19" i="6"/>
  <c r="AF20" i="6"/>
  <c r="AG20" i="6"/>
  <c r="AF21" i="6"/>
  <c r="AG21" i="6"/>
  <c r="AF22" i="6"/>
  <c r="AG22" i="6"/>
  <c r="AF23" i="6"/>
  <c r="AG23" i="6"/>
  <c r="AF24" i="6"/>
  <c r="AG24" i="6"/>
  <c r="AF25" i="6"/>
  <c r="AG25" i="6"/>
  <c r="AF26" i="6"/>
  <c r="AG26" i="6"/>
  <c r="AF27" i="6"/>
  <c r="AG27" i="6"/>
  <c r="AF28" i="6"/>
  <c r="AG28" i="6"/>
  <c r="AF29" i="6"/>
  <c r="AG29" i="6"/>
  <c r="AF30" i="6"/>
  <c r="AG30" i="6"/>
  <c r="AF31" i="6"/>
  <c r="AG31" i="6"/>
  <c r="AF32" i="6"/>
  <c r="AG32" i="6"/>
  <c r="AF33" i="6"/>
  <c r="AG33" i="6"/>
  <c r="AF34" i="6"/>
  <c r="AG34" i="6"/>
  <c r="AF35" i="6"/>
  <c r="AG35" i="6"/>
  <c r="AF36" i="6"/>
  <c r="AG36" i="6"/>
  <c r="AF37" i="6"/>
  <c r="AG37" i="6"/>
  <c r="AF38" i="6"/>
  <c r="AG38" i="6"/>
  <c r="AF39" i="6"/>
  <c r="AG39" i="6"/>
  <c r="AF40" i="6"/>
  <c r="AG40" i="6"/>
  <c r="AF41" i="6"/>
  <c r="AG41" i="6"/>
  <c r="AF42" i="6"/>
  <c r="AG42" i="6"/>
  <c r="AF43" i="6"/>
  <c r="AG43" i="6"/>
  <c r="AF44" i="6"/>
  <c r="AG44" i="6"/>
  <c r="AF45" i="6"/>
  <c r="AG45" i="6"/>
  <c r="AF46" i="6"/>
  <c r="AG46" i="6"/>
  <c r="AF47" i="6"/>
  <c r="AG47" i="6"/>
  <c r="AF48" i="6"/>
  <c r="AG48" i="6"/>
  <c r="AF49" i="6"/>
  <c r="AG49" i="6"/>
  <c r="AF50" i="6"/>
  <c r="AG50" i="6"/>
  <c r="AF51" i="6"/>
  <c r="AG51" i="6"/>
  <c r="AF52" i="6"/>
  <c r="AG52" i="6"/>
  <c r="AF53" i="6"/>
  <c r="AG53" i="6"/>
  <c r="AF54" i="6"/>
  <c r="AG54" i="6"/>
  <c r="AF55" i="6"/>
  <c r="AG55" i="6"/>
  <c r="AF56" i="6"/>
  <c r="AG56" i="6"/>
  <c r="AF57" i="6"/>
  <c r="AG57" i="6"/>
  <c r="AF58" i="6"/>
  <c r="AG58" i="6"/>
  <c r="AF59" i="6"/>
  <c r="AG59" i="6"/>
  <c r="AF60" i="6"/>
  <c r="AG60" i="6"/>
  <c r="AF61" i="6"/>
  <c r="AG61" i="6"/>
  <c r="AF62" i="6"/>
  <c r="AG62" i="6"/>
  <c r="AF63" i="6"/>
  <c r="AG63" i="6"/>
  <c r="AF64" i="6"/>
  <c r="AG64" i="6"/>
  <c r="AF65" i="6"/>
  <c r="AG65" i="6"/>
  <c r="AF66" i="6"/>
  <c r="AG66" i="6"/>
  <c r="AF67" i="6"/>
  <c r="AG67" i="6"/>
  <c r="AF68" i="6"/>
  <c r="AG68" i="6"/>
  <c r="AF69" i="6"/>
  <c r="AG69" i="6"/>
  <c r="AF70" i="6"/>
  <c r="AG70" i="6"/>
  <c r="AF71" i="6"/>
  <c r="AG71" i="6"/>
  <c r="AF72" i="6"/>
  <c r="AG72" i="6"/>
  <c r="AF73" i="6"/>
  <c r="AG73" i="6"/>
  <c r="AF74" i="6"/>
  <c r="AG74" i="6"/>
  <c r="AF75" i="6"/>
  <c r="AG75" i="6"/>
  <c r="AF76" i="6"/>
  <c r="AG76" i="6"/>
  <c r="AF77" i="6"/>
  <c r="AG77" i="6"/>
  <c r="AF78" i="6"/>
  <c r="AG78" i="6"/>
  <c r="AF79" i="6"/>
  <c r="AG79" i="6"/>
  <c r="AF80" i="6"/>
  <c r="AG80" i="6"/>
  <c r="AF81" i="6"/>
  <c r="AG81" i="6"/>
  <c r="AF82" i="6"/>
  <c r="AG82" i="6"/>
  <c r="AF83" i="6"/>
  <c r="AG83" i="6"/>
  <c r="AF84" i="6"/>
  <c r="AG84" i="6"/>
  <c r="AF85" i="6"/>
  <c r="AG85" i="6"/>
  <c r="AF86" i="6"/>
  <c r="AG86" i="6"/>
  <c r="AF87" i="6"/>
  <c r="AG87" i="6"/>
  <c r="AF88" i="6"/>
  <c r="AG88" i="6"/>
  <c r="AF89" i="6"/>
  <c r="AG89" i="6"/>
  <c r="AF90" i="6"/>
  <c r="AG90" i="6"/>
  <c r="AF91" i="6"/>
  <c r="AG91" i="6"/>
  <c r="AF92" i="6"/>
  <c r="AG92" i="6"/>
  <c r="AF93" i="6"/>
  <c r="AG93" i="6"/>
  <c r="AF94" i="6"/>
  <c r="AG94" i="6"/>
  <c r="AF95" i="6"/>
  <c r="AG95" i="6"/>
  <c r="AF96" i="6"/>
  <c r="AG96" i="6"/>
  <c r="AF97" i="6"/>
  <c r="AG97" i="6"/>
  <c r="AF98" i="6"/>
  <c r="AG98" i="6"/>
  <c r="AF99" i="6"/>
  <c r="AG99" i="6"/>
  <c r="AF100" i="6"/>
  <c r="AG100" i="6"/>
  <c r="AF101" i="6"/>
  <c r="AG101" i="6"/>
  <c r="AF102" i="6"/>
  <c r="AG102" i="6"/>
  <c r="AF103" i="6"/>
  <c r="AG103" i="6"/>
  <c r="AF104" i="6"/>
  <c r="AG104" i="6"/>
  <c r="AF105" i="6"/>
  <c r="AG105" i="6"/>
  <c r="AF106" i="6"/>
  <c r="AG106" i="6"/>
  <c r="AF107" i="6"/>
  <c r="AG107" i="6"/>
  <c r="AF108" i="6"/>
  <c r="AG108" i="6"/>
  <c r="AF109" i="6"/>
  <c r="AG109" i="6"/>
  <c r="AF110" i="6"/>
  <c r="AG110" i="6"/>
  <c r="AF111" i="6"/>
  <c r="AG111" i="6"/>
  <c r="AF112" i="6"/>
  <c r="AG112" i="6"/>
  <c r="AF113" i="6"/>
  <c r="AG113" i="6"/>
  <c r="AF114" i="6"/>
  <c r="AG114" i="6"/>
  <c r="AF115" i="6"/>
  <c r="AG115" i="6"/>
  <c r="AF116" i="6"/>
  <c r="AG116" i="6"/>
  <c r="AF117" i="6"/>
  <c r="AG117" i="6"/>
  <c r="AF118" i="6"/>
  <c r="AG118" i="6"/>
  <c r="AF119" i="6"/>
  <c r="AG119" i="6"/>
  <c r="AF120" i="6"/>
  <c r="AG120" i="6"/>
  <c r="AF121" i="6"/>
  <c r="AG121" i="6"/>
  <c r="AF122" i="6"/>
  <c r="AG122" i="6"/>
  <c r="AF123" i="6"/>
  <c r="AG123" i="6"/>
  <c r="AF124" i="6"/>
  <c r="AG124" i="6"/>
  <c r="AF125" i="6"/>
  <c r="AG125" i="6"/>
  <c r="AF126" i="6"/>
  <c r="AG126" i="6"/>
  <c r="AF127" i="6"/>
  <c r="AG127" i="6"/>
  <c r="AF128" i="6"/>
  <c r="AG128" i="6"/>
  <c r="AF129" i="6"/>
  <c r="AG129" i="6"/>
  <c r="AF130" i="6"/>
  <c r="AG130" i="6"/>
  <c r="AF131" i="6"/>
  <c r="AG131" i="6"/>
  <c r="AF132" i="6"/>
  <c r="AG132" i="6"/>
  <c r="AF140" i="6" l="1"/>
  <c r="AG139" i="6"/>
  <c r="AG140" i="6"/>
  <c r="AG138" i="6"/>
  <c r="AG137" i="6"/>
  <c r="AF139" i="6"/>
  <c r="AF138" i="6"/>
  <c r="AF137" i="6"/>
  <c r="T132" i="4"/>
  <c r="S132" i="4"/>
  <c r="R132" i="4"/>
  <c r="T131" i="4"/>
  <c r="S131" i="4"/>
  <c r="R131" i="4"/>
  <c r="T130" i="4"/>
  <c r="S130" i="4"/>
  <c r="R130" i="4"/>
  <c r="T129" i="4"/>
  <c r="S129" i="4"/>
  <c r="R129" i="4"/>
  <c r="T128" i="4"/>
  <c r="S128" i="4"/>
  <c r="R128" i="4"/>
  <c r="T127" i="4"/>
  <c r="S127" i="4"/>
  <c r="R127" i="4"/>
  <c r="T126" i="4"/>
  <c r="S126" i="4"/>
  <c r="R126" i="4"/>
  <c r="T125" i="4"/>
  <c r="S125" i="4"/>
  <c r="R125" i="4"/>
  <c r="T124" i="4"/>
  <c r="S124" i="4"/>
  <c r="R124" i="4"/>
  <c r="T123" i="4"/>
  <c r="S123" i="4"/>
  <c r="R123" i="4"/>
  <c r="T122" i="4"/>
  <c r="S122" i="4"/>
  <c r="R122" i="4"/>
  <c r="T121" i="4"/>
  <c r="S121" i="4"/>
  <c r="R121" i="4"/>
  <c r="T120" i="4"/>
  <c r="S120" i="4"/>
  <c r="R120" i="4"/>
  <c r="T119" i="4"/>
  <c r="S119" i="4"/>
  <c r="R119" i="4"/>
  <c r="T118" i="4"/>
  <c r="S118" i="4"/>
  <c r="R118" i="4"/>
  <c r="T117" i="4"/>
  <c r="S117" i="4"/>
  <c r="R117" i="4"/>
  <c r="T116" i="4"/>
  <c r="S116" i="4"/>
  <c r="R116" i="4"/>
  <c r="T115" i="4"/>
  <c r="S115" i="4"/>
  <c r="R115" i="4"/>
  <c r="T114" i="4"/>
  <c r="S114" i="4"/>
  <c r="R114" i="4"/>
  <c r="T113" i="4"/>
  <c r="S113" i="4"/>
  <c r="R113" i="4"/>
  <c r="T112" i="4"/>
  <c r="S112" i="4"/>
  <c r="R112" i="4"/>
  <c r="T111" i="4"/>
  <c r="S111" i="4"/>
  <c r="R111" i="4"/>
  <c r="T110" i="4"/>
  <c r="S110" i="4"/>
  <c r="R110" i="4"/>
  <c r="T109" i="4"/>
  <c r="S109" i="4"/>
  <c r="R109" i="4"/>
  <c r="T108" i="4"/>
  <c r="S108" i="4"/>
  <c r="R108" i="4"/>
  <c r="T107" i="4"/>
  <c r="S107" i="4"/>
  <c r="R107" i="4"/>
  <c r="T106" i="4"/>
  <c r="S106" i="4"/>
  <c r="R106" i="4"/>
  <c r="T105" i="4"/>
  <c r="S105" i="4"/>
  <c r="R105" i="4"/>
  <c r="T104" i="4"/>
  <c r="S104" i="4"/>
  <c r="R104" i="4"/>
  <c r="T103" i="4"/>
  <c r="S103" i="4"/>
  <c r="R103" i="4"/>
  <c r="T102" i="4"/>
  <c r="S102" i="4"/>
  <c r="R102" i="4"/>
  <c r="T101" i="4"/>
  <c r="S101" i="4"/>
  <c r="R101" i="4"/>
  <c r="T100" i="4"/>
  <c r="S100" i="4"/>
  <c r="R100" i="4"/>
  <c r="T99" i="4"/>
  <c r="S99" i="4"/>
  <c r="R99" i="4"/>
  <c r="T98" i="4"/>
  <c r="S98" i="4"/>
  <c r="R98" i="4"/>
  <c r="T97" i="4"/>
  <c r="S97" i="4"/>
  <c r="R97" i="4"/>
  <c r="T96" i="4"/>
  <c r="S96" i="4"/>
  <c r="R96" i="4"/>
  <c r="T95" i="4"/>
  <c r="S95" i="4"/>
  <c r="R95" i="4"/>
  <c r="T94" i="4"/>
  <c r="S94" i="4"/>
  <c r="R94" i="4"/>
  <c r="T93" i="4"/>
  <c r="S93" i="4"/>
  <c r="R93" i="4"/>
  <c r="T92" i="4"/>
  <c r="S92" i="4"/>
  <c r="R92" i="4"/>
  <c r="T91" i="4"/>
  <c r="S91" i="4"/>
  <c r="R91" i="4"/>
  <c r="T90" i="4"/>
  <c r="S90" i="4"/>
  <c r="R90" i="4"/>
  <c r="T89" i="4"/>
  <c r="S89" i="4"/>
  <c r="R89" i="4"/>
  <c r="T88" i="4"/>
  <c r="S88" i="4"/>
  <c r="R88" i="4"/>
  <c r="T87" i="4"/>
  <c r="S87" i="4"/>
  <c r="R87" i="4"/>
  <c r="T86" i="4"/>
  <c r="S86" i="4"/>
  <c r="R86" i="4"/>
  <c r="T85" i="4"/>
  <c r="S85" i="4"/>
  <c r="R85" i="4"/>
  <c r="T84" i="4"/>
  <c r="S84" i="4"/>
  <c r="R84" i="4"/>
  <c r="T83" i="4"/>
  <c r="S83" i="4"/>
  <c r="R83" i="4"/>
  <c r="T82" i="4"/>
  <c r="S82" i="4"/>
  <c r="R82" i="4"/>
  <c r="T81" i="4"/>
  <c r="S81" i="4"/>
  <c r="R81" i="4"/>
  <c r="T80" i="4"/>
  <c r="S80" i="4"/>
  <c r="R80" i="4"/>
  <c r="T79" i="4"/>
  <c r="S79" i="4"/>
  <c r="R79" i="4"/>
  <c r="T78" i="4"/>
  <c r="S78" i="4"/>
  <c r="R78" i="4"/>
  <c r="T77" i="4"/>
  <c r="S77" i="4"/>
  <c r="R77" i="4"/>
  <c r="T76" i="4"/>
  <c r="S76" i="4"/>
  <c r="R76" i="4"/>
  <c r="T75" i="4"/>
  <c r="S75" i="4"/>
  <c r="R75" i="4"/>
  <c r="T74" i="4"/>
  <c r="S74" i="4"/>
  <c r="R74" i="4"/>
  <c r="T73" i="4"/>
  <c r="S73" i="4"/>
  <c r="R73" i="4"/>
  <c r="T72" i="4"/>
  <c r="S72" i="4"/>
  <c r="R72" i="4"/>
  <c r="T71" i="4"/>
  <c r="S71" i="4"/>
  <c r="R71" i="4"/>
  <c r="T70" i="4"/>
  <c r="S70" i="4"/>
  <c r="R70" i="4"/>
  <c r="T69" i="4"/>
  <c r="S69" i="4"/>
  <c r="R69" i="4"/>
  <c r="T68" i="4"/>
  <c r="S68" i="4"/>
  <c r="R68" i="4"/>
  <c r="T67" i="4"/>
  <c r="S67" i="4"/>
  <c r="R67" i="4"/>
  <c r="T66" i="4"/>
  <c r="S66" i="4"/>
  <c r="R66" i="4"/>
  <c r="T65" i="4"/>
  <c r="S65" i="4"/>
  <c r="R65" i="4"/>
  <c r="T64" i="4"/>
  <c r="S64" i="4"/>
  <c r="R64" i="4"/>
  <c r="T63" i="4"/>
  <c r="S63" i="4"/>
  <c r="R63" i="4"/>
  <c r="T62" i="4"/>
  <c r="S62" i="4"/>
  <c r="R62" i="4"/>
  <c r="T61" i="4"/>
  <c r="S61" i="4"/>
  <c r="R61" i="4"/>
  <c r="T60" i="4"/>
  <c r="S60" i="4"/>
  <c r="R60" i="4"/>
  <c r="T59" i="4"/>
  <c r="S59" i="4"/>
  <c r="R59" i="4"/>
  <c r="T58" i="4"/>
  <c r="S58" i="4"/>
  <c r="R58" i="4"/>
  <c r="T57" i="4"/>
  <c r="S57" i="4"/>
  <c r="R57" i="4"/>
  <c r="T56" i="4"/>
  <c r="S56" i="4"/>
  <c r="R56" i="4"/>
  <c r="T55" i="4"/>
  <c r="S55" i="4"/>
  <c r="R55" i="4"/>
  <c r="T54" i="4"/>
  <c r="S54" i="4"/>
  <c r="R54" i="4"/>
  <c r="T53" i="4"/>
  <c r="S53" i="4"/>
  <c r="R53" i="4"/>
  <c r="T52" i="4"/>
  <c r="S52" i="4"/>
  <c r="R52" i="4"/>
  <c r="T51" i="4"/>
  <c r="S51" i="4"/>
  <c r="R51" i="4"/>
  <c r="T50" i="4"/>
  <c r="S50" i="4"/>
  <c r="R50" i="4"/>
  <c r="T49" i="4"/>
  <c r="S49" i="4"/>
  <c r="R49" i="4"/>
  <c r="T48" i="4"/>
  <c r="S48" i="4"/>
  <c r="R48" i="4"/>
  <c r="T47" i="4"/>
  <c r="S47" i="4"/>
  <c r="R47" i="4"/>
  <c r="T46" i="4"/>
  <c r="S46" i="4"/>
  <c r="R46" i="4"/>
  <c r="T45" i="4"/>
  <c r="S45" i="4"/>
  <c r="R45" i="4"/>
  <c r="T44" i="4"/>
  <c r="S44" i="4"/>
  <c r="R44" i="4"/>
  <c r="T43" i="4"/>
  <c r="S43" i="4"/>
  <c r="R43" i="4"/>
  <c r="T42" i="4"/>
  <c r="S42" i="4"/>
  <c r="R42" i="4"/>
  <c r="T41" i="4"/>
  <c r="S41" i="4"/>
  <c r="R41" i="4"/>
  <c r="T40" i="4"/>
  <c r="S40" i="4"/>
  <c r="R40" i="4"/>
  <c r="T39" i="4"/>
  <c r="S39" i="4"/>
  <c r="R39" i="4"/>
  <c r="T38" i="4"/>
  <c r="S38" i="4"/>
  <c r="R38" i="4"/>
  <c r="T37" i="4"/>
  <c r="S37" i="4"/>
  <c r="R37" i="4"/>
  <c r="T36" i="4"/>
  <c r="S36" i="4"/>
  <c r="R36" i="4"/>
  <c r="T35" i="4"/>
  <c r="S35" i="4"/>
  <c r="R35" i="4"/>
  <c r="T34" i="4"/>
  <c r="S34" i="4"/>
  <c r="R34" i="4"/>
  <c r="T33" i="4"/>
  <c r="S33" i="4"/>
  <c r="R33" i="4"/>
  <c r="T32" i="4"/>
  <c r="S32" i="4"/>
  <c r="R32" i="4"/>
  <c r="T31" i="4"/>
  <c r="S31" i="4"/>
  <c r="R31" i="4"/>
  <c r="T30" i="4"/>
  <c r="S30" i="4"/>
  <c r="R30" i="4"/>
  <c r="T29" i="4"/>
  <c r="S29" i="4"/>
  <c r="R29" i="4"/>
  <c r="T28" i="4"/>
  <c r="S28" i="4"/>
  <c r="R28" i="4"/>
  <c r="T27" i="4"/>
  <c r="S27" i="4"/>
  <c r="R27" i="4"/>
  <c r="T26" i="4"/>
  <c r="S26" i="4"/>
  <c r="R26" i="4"/>
  <c r="T25" i="4"/>
  <c r="S25" i="4"/>
  <c r="R25" i="4"/>
  <c r="T24" i="4"/>
  <c r="S24" i="4"/>
  <c r="R24" i="4"/>
  <c r="T23" i="4"/>
  <c r="S23" i="4"/>
  <c r="R23" i="4"/>
  <c r="T22" i="4"/>
  <c r="S22" i="4"/>
  <c r="R22" i="4"/>
  <c r="T21" i="4"/>
  <c r="S21" i="4"/>
  <c r="R21" i="4"/>
  <c r="T20" i="4"/>
  <c r="S20" i="4"/>
  <c r="R20" i="4"/>
  <c r="T19" i="4"/>
  <c r="S19" i="4"/>
  <c r="R19" i="4"/>
  <c r="T18" i="4"/>
  <c r="S18" i="4"/>
  <c r="R18" i="4"/>
  <c r="T17" i="4"/>
  <c r="S17" i="4"/>
  <c r="R17" i="4"/>
  <c r="T16" i="4"/>
  <c r="S16" i="4"/>
  <c r="R16" i="4"/>
  <c r="T15" i="4"/>
  <c r="S15" i="4"/>
  <c r="R15" i="4"/>
  <c r="T14" i="4"/>
  <c r="S14" i="4"/>
  <c r="R14" i="4"/>
  <c r="T13" i="4"/>
  <c r="S13" i="4"/>
  <c r="R13" i="4"/>
  <c r="T12" i="4"/>
  <c r="S12" i="4"/>
  <c r="R12" i="4"/>
  <c r="T11" i="4"/>
  <c r="S11" i="4"/>
  <c r="R11" i="4"/>
  <c r="T10" i="4"/>
  <c r="S10" i="4"/>
  <c r="R10" i="4"/>
  <c r="T9" i="4"/>
  <c r="S9" i="4"/>
  <c r="R9" i="4"/>
  <c r="T8" i="4"/>
  <c r="S8" i="4"/>
  <c r="R8" i="4"/>
  <c r="T7" i="4"/>
  <c r="S7" i="4"/>
  <c r="R7" i="4"/>
  <c r="T6" i="4"/>
  <c r="S6" i="4"/>
  <c r="R6" i="4"/>
  <c r="T5" i="4"/>
  <c r="S5" i="4"/>
  <c r="R6" i="5"/>
  <c r="S6" i="5"/>
  <c r="T6" i="5"/>
  <c r="R7" i="5"/>
  <c r="S7" i="5"/>
  <c r="T7" i="5"/>
  <c r="R8" i="5"/>
  <c r="S8" i="5"/>
  <c r="T8" i="5"/>
  <c r="R9" i="5"/>
  <c r="S9" i="5"/>
  <c r="T9" i="5"/>
  <c r="R10" i="5"/>
  <c r="S10" i="5"/>
  <c r="T10" i="5"/>
  <c r="R11" i="5"/>
  <c r="S11" i="5"/>
  <c r="T11" i="5"/>
  <c r="R12" i="5"/>
  <c r="S12" i="5"/>
  <c r="T12" i="5"/>
  <c r="R13" i="5"/>
  <c r="S13" i="5"/>
  <c r="T13" i="5"/>
  <c r="R14" i="5"/>
  <c r="S14" i="5"/>
  <c r="T14" i="5"/>
  <c r="R15" i="5"/>
  <c r="S15" i="5"/>
  <c r="T15" i="5"/>
  <c r="R16" i="5"/>
  <c r="S16" i="5"/>
  <c r="T16" i="5"/>
  <c r="R17" i="5"/>
  <c r="S17" i="5"/>
  <c r="T17" i="5"/>
  <c r="R18" i="5"/>
  <c r="S18" i="5"/>
  <c r="T18" i="5"/>
  <c r="R19" i="5"/>
  <c r="S19" i="5"/>
  <c r="T19" i="5"/>
  <c r="R20" i="5"/>
  <c r="S20" i="5"/>
  <c r="T20" i="5"/>
  <c r="R21" i="5"/>
  <c r="S21" i="5"/>
  <c r="T21" i="5"/>
  <c r="R22" i="5"/>
  <c r="S22" i="5"/>
  <c r="T22" i="5"/>
  <c r="R23" i="5"/>
  <c r="S23" i="5"/>
  <c r="T23" i="5"/>
  <c r="R24" i="5"/>
  <c r="S24" i="5"/>
  <c r="T24" i="5"/>
  <c r="R25" i="5"/>
  <c r="S25" i="5"/>
  <c r="T25" i="5"/>
  <c r="R26" i="5"/>
  <c r="S26" i="5"/>
  <c r="T26" i="5"/>
  <c r="R27" i="5"/>
  <c r="S27" i="5"/>
  <c r="T27" i="5"/>
  <c r="R28" i="5"/>
  <c r="S28" i="5"/>
  <c r="T28" i="5"/>
  <c r="R29" i="5"/>
  <c r="S29" i="5"/>
  <c r="T29" i="5"/>
  <c r="R30" i="5"/>
  <c r="S30" i="5"/>
  <c r="T30" i="5"/>
  <c r="R31" i="5"/>
  <c r="S31" i="5"/>
  <c r="T31" i="5"/>
  <c r="R32" i="5"/>
  <c r="S32" i="5"/>
  <c r="T32" i="5"/>
  <c r="R33" i="5"/>
  <c r="S33" i="5"/>
  <c r="T33" i="5"/>
  <c r="R34" i="5"/>
  <c r="S34" i="5"/>
  <c r="T34" i="5"/>
  <c r="R35" i="5"/>
  <c r="S35" i="5"/>
  <c r="T35" i="5"/>
  <c r="R36" i="5"/>
  <c r="S36" i="5"/>
  <c r="T36" i="5"/>
  <c r="R37" i="5"/>
  <c r="S37" i="5"/>
  <c r="T37" i="5"/>
  <c r="R38" i="5"/>
  <c r="S38" i="5"/>
  <c r="T38" i="5"/>
  <c r="R39" i="5"/>
  <c r="S39" i="5"/>
  <c r="T39" i="5"/>
  <c r="R40" i="5"/>
  <c r="S40" i="5"/>
  <c r="T40" i="5"/>
  <c r="R41" i="5"/>
  <c r="S41" i="5"/>
  <c r="T41" i="5"/>
  <c r="R42" i="5"/>
  <c r="S42" i="5"/>
  <c r="T42" i="5"/>
  <c r="R43" i="5"/>
  <c r="S43" i="5"/>
  <c r="T43" i="5"/>
  <c r="R44" i="5"/>
  <c r="S44" i="5"/>
  <c r="T44" i="5"/>
  <c r="R45" i="5"/>
  <c r="S45" i="5"/>
  <c r="T45" i="5"/>
  <c r="R46" i="5"/>
  <c r="S46" i="5"/>
  <c r="T46" i="5"/>
  <c r="R47" i="5"/>
  <c r="S47" i="5"/>
  <c r="T47" i="5"/>
  <c r="R48" i="5"/>
  <c r="S48" i="5"/>
  <c r="T48" i="5"/>
  <c r="R49" i="5"/>
  <c r="S49" i="5"/>
  <c r="T49" i="5"/>
  <c r="R50" i="5"/>
  <c r="S50" i="5"/>
  <c r="T50" i="5"/>
  <c r="R51" i="5"/>
  <c r="S51" i="5"/>
  <c r="T51" i="5"/>
  <c r="R52" i="5"/>
  <c r="S52" i="5"/>
  <c r="T52" i="5"/>
  <c r="R53" i="5"/>
  <c r="S53" i="5"/>
  <c r="T53" i="5"/>
  <c r="R54" i="5"/>
  <c r="S54" i="5"/>
  <c r="T54" i="5"/>
  <c r="R55" i="5"/>
  <c r="S55" i="5"/>
  <c r="T55" i="5"/>
  <c r="R56" i="5"/>
  <c r="S56" i="5"/>
  <c r="T56" i="5"/>
  <c r="R57" i="5"/>
  <c r="S57" i="5"/>
  <c r="T57" i="5"/>
  <c r="R58" i="5"/>
  <c r="S58" i="5"/>
  <c r="T58" i="5"/>
  <c r="R59" i="5"/>
  <c r="S59" i="5"/>
  <c r="T59" i="5"/>
  <c r="R60" i="5"/>
  <c r="S60" i="5"/>
  <c r="T60" i="5"/>
  <c r="R61" i="5"/>
  <c r="S61" i="5"/>
  <c r="T61" i="5"/>
  <c r="R62" i="5"/>
  <c r="S62" i="5"/>
  <c r="T62" i="5"/>
  <c r="R63" i="5"/>
  <c r="S63" i="5"/>
  <c r="T63" i="5"/>
  <c r="R64" i="5"/>
  <c r="S64" i="5"/>
  <c r="T64" i="5"/>
  <c r="R65" i="5"/>
  <c r="S65" i="5"/>
  <c r="T65" i="5"/>
  <c r="R66" i="5"/>
  <c r="S66" i="5"/>
  <c r="T66" i="5"/>
  <c r="R67" i="5"/>
  <c r="S67" i="5"/>
  <c r="T67" i="5"/>
  <c r="R68" i="5"/>
  <c r="S68" i="5"/>
  <c r="T68" i="5"/>
  <c r="R69" i="5"/>
  <c r="S69" i="5"/>
  <c r="T69" i="5"/>
  <c r="R70" i="5"/>
  <c r="S70" i="5"/>
  <c r="T70" i="5"/>
  <c r="R71" i="5"/>
  <c r="S71" i="5"/>
  <c r="T71" i="5"/>
  <c r="R72" i="5"/>
  <c r="S72" i="5"/>
  <c r="T72" i="5"/>
  <c r="R73" i="5"/>
  <c r="S73" i="5"/>
  <c r="T73" i="5"/>
  <c r="R74" i="5"/>
  <c r="S74" i="5"/>
  <c r="T74" i="5"/>
  <c r="R75" i="5"/>
  <c r="S75" i="5"/>
  <c r="T75" i="5"/>
  <c r="R76" i="5"/>
  <c r="S76" i="5"/>
  <c r="T76" i="5"/>
  <c r="R77" i="5"/>
  <c r="S77" i="5"/>
  <c r="T77" i="5"/>
  <c r="R78" i="5"/>
  <c r="S78" i="5"/>
  <c r="T78" i="5"/>
  <c r="R79" i="5"/>
  <c r="S79" i="5"/>
  <c r="T79" i="5"/>
  <c r="R80" i="5"/>
  <c r="S80" i="5"/>
  <c r="T80" i="5"/>
  <c r="R81" i="5"/>
  <c r="S81" i="5"/>
  <c r="T81" i="5"/>
  <c r="R82" i="5"/>
  <c r="S82" i="5"/>
  <c r="T82" i="5"/>
  <c r="R83" i="5"/>
  <c r="S83" i="5"/>
  <c r="T83" i="5"/>
  <c r="R84" i="5"/>
  <c r="S84" i="5"/>
  <c r="T84" i="5"/>
  <c r="R85" i="5"/>
  <c r="S85" i="5"/>
  <c r="T85" i="5"/>
  <c r="R86" i="5"/>
  <c r="S86" i="5"/>
  <c r="T86" i="5"/>
  <c r="R87" i="5"/>
  <c r="S87" i="5"/>
  <c r="T87" i="5"/>
  <c r="R88" i="5"/>
  <c r="S88" i="5"/>
  <c r="T88" i="5"/>
  <c r="R89" i="5"/>
  <c r="S89" i="5"/>
  <c r="T89" i="5"/>
  <c r="R90" i="5"/>
  <c r="S90" i="5"/>
  <c r="T90" i="5"/>
  <c r="R91" i="5"/>
  <c r="S91" i="5"/>
  <c r="T91" i="5"/>
  <c r="R92" i="5"/>
  <c r="S92" i="5"/>
  <c r="T92" i="5"/>
  <c r="R93" i="5"/>
  <c r="S93" i="5"/>
  <c r="T93" i="5"/>
  <c r="R94" i="5"/>
  <c r="S94" i="5"/>
  <c r="T94" i="5"/>
  <c r="R95" i="5"/>
  <c r="S95" i="5"/>
  <c r="T95" i="5"/>
  <c r="R96" i="5"/>
  <c r="S96" i="5"/>
  <c r="T96" i="5"/>
  <c r="R97" i="5"/>
  <c r="S97" i="5"/>
  <c r="T97" i="5"/>
  <c r="R98" i="5"/>
  <c r="S98" i="5"/>
  <c r="T98" i="5"/>
  <c r="R99" i="5"/>
  <c r="S99" i="5"/>
  <c r="T99" i="5"/>
  <c r="R100" i="5"/>
  <c r="S100" i="5"/>
  <c r="T100" i="5"/>
  <c r="R101" i="5"/>
  <c r="S101" i="5"/>
  <c r="T101" i="5"/>
  <c r="R102" i="5"/>
  <c r="S102" i="5"/>
  <c r="T102" i="5"/>
  <c r="R103" i="5"/>
  <c r="S103" i="5"/>
  <c r="T103" i="5"/>
  <c r="R104" i="5"/>
  <c r="S104" i="5"/>
  <c r="T104" i="5"/>
  <c r="R105" i="5"/>
  <c r="S105" i="5"/>
  <c r="T105" i="5"/>
  <c r="R106" i="5"/>
  <c r="S106" i="5"/>
  <c r="T106" i="5"/>
  <c r="R107" i="5"/>
  <c r="S107" i="5"/>
  <c r="T107" i="5"/>
  <c r="R108" i="5"/>
  <c r="S108" i="5"/>
  <c r="T108" i="5"/>
  <c r="R109" i="5"/>
  <c r="S109" i="5"/>
  <c r="T109" i="5"/>
  <c r="R110" i="5"/>
  <c r="S110" i="5"/>
  <c r="T110" i="5"/>
  <c r="R111" i="5"/>
  <c r="S111" i="5"/>
  <c r="T111" i="5"/>
  <c r="R112" i="5"/>
  <c r="S112" i="5"/>
  <c r="T112" i="5"/>
  <c r="R113" i="5"/>
  <c r="S113" i="5"/>
  <c r="T113" i="5"/>
  <c r="R114" i="5"/>
  <c r="S114" i="5"/>
  <c r="T114" i="5"/>
  <c r="R115" i="5"/>
  <c r="S115" i="5"/>
  <c r="T115" i="5"/>
  <c r="R116" i="5"/>
  <c r="S116" i="5"/>
  <c r="T116" i="5"/>
  <c r="R117" i="5"/>
  <c r="S117" i="5"/>
  <c r="T117" i="5"/>
  <c r="R118" i="5"/>
  <c r="S118" i="5"/>
  <c r="T118" i="5"/>
  <c r="R119" i="5"/>
  <c r="S119" i="5"/>
  <c r="T119" i="5"/>
  <c r="R120" i="5"/>
  <c r="S120" i="5"/>
  <c r="T120" i="5"/>
  <c r="R121" i="5"/>
  <c r="S121" i="5"/>
  <c r="T121" i="5"/>
  <c r="R122" i="5"/>
  <c r="S122" i="5"/>
  <c r="T122" i="5"/>
  <c r="R123" i="5"/>
  <c r="S123" i="5"/>
  <c r="T123" i="5"/>
  <c r="R124" i="5"/>
  <c r="S124" i="5"/>
  <c r="T124" i="5"/>
  <c r="R125" i="5"/>
  <c r="S125" i="5"/>
  <c r="T125" i="5"/>
  <c r="R126" i="5"/>
  <c r="S126" i="5"/>
  <c r="T126" i="5"/>
  <c r="R127" i="5"/>
  <c r="S127" i="5"/>
  <c r="T127" i="5"/>
  <c r="R128" i="5"/>
  <c r="S128" i="5"/>
  <c r="T128" i="5"/>
  <c r="R129" i="5"/>
  <c r="S129" i="5"/>
  <c r="T129" i="5"/>
  <c r="R130" i="5"/>
  <c r="S130" i="5"/>
  <c r="T130" i="5"/>
  <c r="R131" i="5"/>
  <c r="S131" i="5"/>
  <c r="T131" i="5"/>
  <c r="R132" i="5"/>
  <c r="S132" i="5"/>
  <c r="T132" i="5"/>
  <c r="S5" i="5"/>
  <c r="T5" i="5"/>
  <c r="R5" i="5"/>
  <c r="AC6" i="6"/>
  <c r="AD6" i="6"/>
  <c r="AE6" i="6"/>
  <c r="AC7" i="6"/>
  <c r="AD7" i="6"/>
  <c r="AE7" i="6"/>
  <c r="AC8" i="6"/>
  <c r="AD8" i="6"/>
  <c r="AE8" i="6"/>
  <c r="AC9" i="6"/>
  <c r="AD9" i="6"/>
  <c r="AE9" i="6"/>
  <c r="AC10" i="6"/>
  <c r="AD10" i="6"/>
  <c r="AE10" i="6"/>
  <c r="AC11" i="6"/>
  <c r="AD11" i="6"/>
  <c r="AE11" i="6"/>
  <c r="AC12" i="6"/>
  <c r="AD12" i="6"/>
  <c r="AE12" i="6"/>
  <c r="AC13" i="6"/>
  <c r="AD13" i="6"/>
  <c r="AE13" i="6"/>
  <c r="AC14" i="6"/>
  <c r="AD14" i="6"/>
  <c r="AE14" i="6"/>
  <c r="AC15" i="6"/>
  <c r="AD15" i="6"/>
  <c r="AE15" i="6"/>
  <c r="AC16" i="6"/>
  <c r="AD16" i="6"/>
  <c r="AE16" i="6"/>
  <c r="AC17" i="6"/>
  <c r="AD17" i="6"/>
  <c r="AE17" i="6"/>
  <c r="AC18" i="6"/>
  <c r="AD18" i="6"/>
  <c r="AE18" i="6"/>
  <c r="AC19" i="6"/>
  <c r="AD19" i="6"/>
  <c r="AE19" i="6"/>
  <c r="AC20" i="6"/>
  <c r="AD20" i="6"/>
  <c r="AE20" i="6"/>
  <c r="AC21" i="6"/>
  <c r="AD21" i="6"/>
  <c r="AE21" i="6"/>
  <c r="AC22" i="6"/>
  <c r="AD22" i="6"/>
  <c r="AE22" i="6"/>
  <c r="AC23" i="6"/>
  <c r="AD23" i="6"/>
  <c r="AE23" i="6"/>
  <c r="AC24" i="6"/>
  <c r="AD24" i="6"/>
  <c r="AE24" i="6"/>
  <c r="AC25" i="6"/>
  <c r="AD25" i="6"/>
  <c r="AE25" i="6"/>
  <c r="AC26" i="6"/>
  <c r="AD26" i="6"/>
  <c r="AE26" i="6"/>
  <c r="AC27" i="6"/>
  <c r="AD27" i="6"/>
  <c r="AE27" i="6"/>
  <c r="AC28" i="6"/>
  <c r="AD28" i="6"/>
  <c r="AE28" i="6"/>
  <c r="AC29" i="6"/>
  <c r="AD29" i="6"/>
  <c r="AE29" i="6"/>
  <c r="AC30" i="6"/>
  <c r="AD30" i="6"/>
  <c r="AE30" i="6"/>
  <c r="AC31" i="6"/>
  <c r="AD31" i="6"/>
  <c r="AE31" i="6"/>
  <c r="AC32" i="6"/>
  <c r="AD32" i="6"/>
  <c r="AE32" i="6"/>
  <c r="AC33" i="6"/>
  <c r="AD33" i="6"/>
  <c r="AE33" i="6"/>
  <c r="AC34" i="6"/>
  <c r="AD34" i="6"/>
  <c r="AE34" i="6"/>
  <c r="AC35" i="6"/>
  <c r="AD35" i="6"/>
  <c r="AE35" i="6"/>
  <c r="AC36" i="6"/>
  <c r="AD36" i="6"/>
  <c r="AE36" i="6"/>
  <c r="AC37" i="6"/>
  <c r="AD37" i="6"/>
  <c r="AE37" i="6"/>
  <c r="AC38" i="6"/>
  <c r="AD38" i="6"/>
  <c r="AE38" i="6"/>
  <c r="AC39" i="6"/>
  <c r="AD39" i="6"/>
  <c r="AE39" i="6"/>
  <c r="AC40" i="6"/>
  <c r="AD40" i="6"/>
  <c r="AE40" i="6"/>
  <c r="AC41" i="6"/>
  <c r="AD41" i="6"/>
  <c r="AE41" i="6"/>
  <c r="AC42" i="6"/>
  <c r="AD42" i="6"/>
  <c r="AE42" i="6"/>
  <c r="AC43" i="6"/>
  <c r="AD43" i="6"/>
  <c r="AE43" i="6"/>
  <c r="AC44" i="6"/>
  <c r="AD44" i="6"/>
  <c r="AE44" i="6"/>
  <c r="AC45" i="6"/>
  <c r="AD45" i="6"/>
  <c r="AE45" i="6"/>
  <c r="AC46" i="6"/>
  <c r="AD46" i="6"/>
  <c r="AE46" i="6"/>
  <c r="AC47" i="6"/>
  <c r="AD47" i="6"/>
  <c r="AE47" i="6"/>
  <c r="AC48" i="6"/>
  <c r="AD48" i="6"/>
  <c r="AE48" i="6"/>
  <c r="AC49" i="6"/>
  <c r="AD49" i="6"/>
  <c r="AE49" i="6"/>
  <c r="AC50" i="6"/>
  <c r="AD50" i="6"/>
  <c r="AE50" i="6"/>
  <c r="AC51" i="6"/>
  <c r="AD51" i="6"/>
  <c r="AE51" i="6"/>
  <c r="AC52" i="6"/>
  <c r="AD52" i="6"/>
  <c r="AE52" i="6"/>
  <c r="AC53" i="6"/>
  <c r="AD53" i="6"/>
  <c r="AE53" i="6"/>
  <c r="AC54" i="6"/>
  <c r="AD54" i="6"/>
  <c r="AE54" i="6"/>
  <c r="AC55" i="6"/>
  <c r="AD55" i="6"/>
  <c r="AE55" i="6"/>
  <c r="AC56" i="6"/>
  <c r="AD56" i="6"/>
  <c r="AE56" i="6"/>
  <c r="AC57" i="6"/>
  <c r="AD57" i="6"/>
  <c r="AE57" i="6"/>
  <c r="AC58" i="6"/>
  <c r="AD58" i="6"/>
  <c r="AE58" i="6"/>
  <c r="AC59" i="6"/>
  <c r="AD59" i="6"/>
  <c r="AE59" i="6"/>
  <c r="AC60" i="6"/>
  <c r="AD60" i="6"/>
  <c r="AE60" i="6"/>
  <c r="AC61" i="6"/>
  <c r="AD61" i="6"/>
  <c r="AE61" i="6"/>
  <c r="AC62" i="6"/>
  <c r="AD62" i="6"/>
  <c r="AE62" i="6"/>
  <c r="AC63" i="6"/>
  <c r="AD63" i="6"/>
  <c r="AE63" i="6"/>
  <c r="AC64" i="6"/>
  <c r="AD64" i="6"/>
  <c r="AE64" i="6"/>
  <c r="AC65" i="6"/>
  <c r="AD65" i="6"/>
  <c r="AE65" i="6"/>
  <c r="AC66" i="6"/>
  <c r="AD66" i="6"/>
  <c r="AE66" i="6"/>
  <c r="AC67" i="6"/>
  <c r="AD67" i="6"/>
  <c r="AE67" i="6"/>
  <c r="AC68" i="6"/>
  <c r="AD68" i="6"/>
  <c r="AE68" i="6"/>
  <c r="AC69" i="6"/>
  <c r="AD69" i="6"/>
  <c r="AE69" i="6"/>
  <c r="AC70" i="6"/>
  <c r="AD70" i="6"/>
  <c r="AE70" i="6"/>
  <c r="AC71" i="6"/>
  <c r="AD71" i="6"/>
  <c r="AE71" i="6"/>
  <c r="AC72" i="6"/>
  <c r="AD72" i="6"/>
  <c r="AE72" i="6"/>
  <c r="AC73" i="6"/>
  <c r="AD73" i="6"/>
  <c r="AE73" i="6"/>
  <c r="AC74" i="6"/>
  <c r="AD74" i="6"/>
  <c r="AE74" i="6"/>
  <c r="AC75" i="6"/>
  <c r="AD75" i="6"/>
  <c r="AE75" i="6"/>
  <c r="AC76" i="6"/>
  <c r="AD76" i="6"/>
  <c r="AE76" i="6"/>
  <c r="AC77" i="6"/>
  <c r="AD77" i="6"/>
  <c r="AE77" i="6"/>
  <c r="AC78" i="6"/>
  <c r="AD78" i="6"/>
  <c r="AE78" i="6"/>
  <c r="AC79" i="6"/>
  <c r="AD79" i="6"/>
  <c r="AE79" i="6"/>
  <c r="AC80" i="6"/>
  <c r="AD80" i="6"/>
  <c r="AE80" i="6"/>
  <c r="AC81" i="6"/>
  <c r="AD81" i="6"/>
  <c r="AE81" i="6"/>
  <c r="AC82" i="6"/>
  <c r="AD82" i="6"/>
  <c r="AE82" i="6"/>
  <c r="AC83" i="6"/>
  <c r="AD83" i="6"/>
  <c r="AE83" i="6"/>
  <c r="AC84" i="6"/>
  <c r="AD84" i="6"/>
  <c r="AE84" i="6"/>
  <c r="AC85" i="6"/>
  <c r="AD85" i="6"/>
  <c r="AE85" i="6"/>
  <c r="AC86" i="6"/>
  <c r="AD86" i="6"/>
  <c r="AE86" i="6"/>
  <c r="AC87" i="6"/>
  <c r="AD87" i="6"/>
  <c r="AE87" i="6"/>
  <c r="AC88" i="6"/>
  <c r="AD88" i="6"/>
  <c r="AE88" i="6"/>
  <c r="AC89" i="6"/>
  <c r="AD89" i="6"/>
  <c r="AE89" i="6"/>
  <c r="AC90" i="6"/>
  <c r="AD90" i="6"/>
  <c r="AE90" i="6"/>
  <c r="AC91" i="6"/>
  <c r="AD91" i="6"/>
  <c r="AE91" i="6"/>
  <c r="AC92" i="6"/>
  <c r="AD92" i="6"/>
  <c r="AE92" i="6"/>
  <c r="AC93" i="6"/>
  <c r="AD93" i="6"/>
  <c r="AE93" i="6"/>
  <c r="AC94" i="6"/>
  <c r="AD94" i="6"/>
  <c r="AE94" i="6"/>
  <c r="AC95" i="6"/>
  <c r="AD95" i="6"/>
  <c r="AE95" i="6"/>
  <c r="AC96" i="6"/>
  <c r="AD96" i="6"/>
  <c r="AE96" i="6"/>
  <c r="AC97" i="6"/>
  <c r="AD97" i="6"/>
  <c r="AE97" i="6"/>
  <c r="AC98" i="6"/>
  <c r="AD98" i="6"/>
  <c r="AE98" i="6"/>
  <c r="AC99" i="6"/>
  <c r="AD99" i="6"/>
  <c r="AE99" i="6"/>
  <c r="AC100" i="6"/>
  <c r="AD100" i="6"/>
  <c r="AE100" i="6"/>
  <c r="AC101" i="6"/>
  <c r="AD101" i="6"/>
  <c r="AE101" i="6"/>
  <c r="AC102" i="6"/>
  <c r="AD102" i="6"/>
  <c r="AE102" i="6"/>
  <c r="AC103" i="6"/>
  <c r="AD103" i="6"/>
  <c r="AE103" i="6"/>
  <c r="AC104" i="6"/>
  <c r="AD104" i="6"/>
  <c r="AE104" i="6"/>
  <c r="AC105" i="6"/>
  <c r="AD105" i="6"/>
  <c r="AE105" i="6"/>
  <c r="AC106" i="6"/>
  <c r="AD106" i="6"/>
  <c r="AE106" i="6"/>
  <c r="AC107" i="6"/>
  <c r="AD107" i="6"/>
  <c r="AE107" i="6"/>
  <c r="AC108" i="6"/>
  <c r="AD108" i="6"/>
  <c r="AE108" i="6"/>
  <c r="AC109" i="6"/>
  <c r="AD109" i="6"/>
  <c r="AE109" i="6"/>
  <c r="AC110" i="6"/>
  <c r="AD110" i="6"/>
  <c r="AE110" i="6"/>
  <c r="AC111" i="6"/>
  <c r="AD111" i="6"/>
  <c r="AE111" i="6"/>
  <c r="AC112" i="6"/>
  <c r="AD112" i="6"/>
  <c r="AE112" i="6"/>
  <c r="AC113" i="6"/>
  <c r="AD113" i="6"/>
  <c r="AE113" i="6"/>
  <c r="AC114" i="6"/>
  <c r="AD114" i="6"/>
  <c r="AE114" i="6"/>
  <c r="AC115" i="6"/>
  <c r="AD115" i="6"/>
  <c r="AE115" i="6"/>
  <c r="AC116" i="6"/>
  <c r="AD116" i="6"/>
  <c r="AE116" i="6"/>
  <c r="AC117" i="6"/>
  <c r="AD117" i="6"/>
  <c r="AE117" i="6"/>
  <c r="AC118" i="6"/>
  <c r="AD118" i="6"/>
  <c r="AE118" i="6"/>
  <c r="AC119" i="6"/>
  <c r="AD119" i="6"/>
  <c r="AE119" i="6"/>
  <c r="AC120" i="6"/>
  <c r="AD120" i="6"/>
  <c r="AE120" i="6"/>
  <c r="AC121" i="6"/>
  <c r="AD121" i="6"/>
  <c r="AE121" i="6"/>
  <c r="AC122" i="6"/>
  <c r="AD122" i="6"/>
  <c r="AE122" i="6"/>
  <c r="AC123" i="6"/>
  <c r="AD123" i="6"/>
  <c r="AE123" i="6"/>
  <c r="AC124" i="6"/>
  <c r="AD124" i="6"/>
  <c r="AE124" i="6"/>
  <c r="AC125" i="6"/>
  <c r="AD125" i="6"/>
  <c r="AE125" i="6"/>
  <c r="AC126" i="6"/>
  <c r="AD126" i="6"/>
  <c r="AE126" i="6"/>
  <c r="AC127" i="6"/>
  <c r="AD127" i="6"/>
  <c r="AE127" i="6"/>
  <c r="AC128" i="6"/>
  <c r="AD128" i="6"/>
  <c r="AE128" i="6"/>
  <c r="AC129" i="6"/>
  <c r="AD129" i="6"/>
  <c r="AE129" i="6"/>
  <c r="AC130" i="6"/>
  <c r="AD130" i="6"/>
  <c r="AE130" i="6"/>
  <c r="AC131" i="6"/>
  <c r="AD131" i="6"/>
  <c r="AE131" i="6"/>
  <c r="AC132" i="6"/>
  <c r="AD132" i="6"/>
  <c r="AE132" i="6"/>
  <c r="R140" i="5" l="1"/>
  <c r="T137" i="5"/>
  <c r="R138" i="5"/>
  <c r="R137" i="5"/>
  <c r="S139" i="5"/>
  <c r="R139" i="5"/>
  <c r="T140" i="5"/>
  <c r="T138" i="5"/>
  <c r="S140" i="5"/>
  <c r="S138" i="5"/>
  <c r="S137" i="5"/>
  <c r="T139" i="5"/>
  <c r="AE140" i="6"/>
  <c r="AD138" i="6"/>
  <c r="AD137" i="6"/>
  <c r="AE139" i="6"/>
  <c r="AC138" i="6"/>
  <c r="AC137" i="6"/>
  <c r="AD139" i="6"/>
  <c r="AC140" i="6"/>
  <c r="AC139" i="6"/>
  <c r="AD140" i="6"/>
  <c r="AE138" i="6"/>
  <c r="AE137" i="6"/>
  <c r="S138" i="4"/>
  <c r="S140" i="4"/>
  <c r="S139" i="4"/>
  <c r="R140" i="4"/>
  <c r="T137" i="4"/>
  <c r="R139" i="4"/>
  <c r="R138" i="4"/>
  <c r="T140" i="4"/>
  <c r="R137" i="4"/>
  <c r="T139" i="4"/>
  <c r="T138" i="4"/>
  <c r="S137" i="4"/>
  <c r="T135" i="5"/>
  <c r="S135" i="5"/>
  <c r="R135" i="5"/>
  <c r="S135" i="4"/>
  <c r="R135" i="4"/>
  <c r="T135" i="4"/>
  <c r="AI6" i="7"/>
  <c r="AI7" i="7"/>
  <c r="AI8" i="7"/>
  <c r="AI9" i="7"/>
  <c r="AI10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8" i="7"/>
  <c r="AI29" i="7"/>
  <c r="AI30" i="7"/>
  <c r="AI31" i="7"/>
  <c r="AI32" i="7"/>
  <c r="AI33" i="7"/>
  <c r="AI34" i="7"/>
  <c r="AI35" i="7"/>
  <c r="AI36" i="7"/>
  <c r="AI37" i="7"/>
  <c r="AI38" i="7"/>
  <c r="AI39" i="7"/>
  <c r="AI40" i="7"/>
  <c r="AI41" i="7"/>
  <c r="AI42" i="7"/>
  <c r="AI43" i="7"/>
  <c r="AI44" i="7"/>
  <c r="AI45" i="7"/>
  <c r="AI46" i="7"/>
  <c r="AI47" i="7"/>
  <c r="AI48" i="7"/>
  <c r="AI49" i="7"/>
  <c r="AI50" i="7"/>
  <c r="AI51" i="7"/>
  <c r="AI52" i="7"/>
  <c r="AI53" i="7"/>
  <c r="AI54" i="7"/>
  <c r="AI55" i="7"/>
  <c r="AI56" i="7"/>
  <c r="AI57" i="7"/>
  <c r="AI58" i="7"/>
  <c r="AI59" i="7"/>
  <c r="AI60" i="7"/>
  <c r="AI61" i="7"/>
  <c r="AI62" i="7"/>
  <c r="AI63" i="7"/>
  <c r="AI64" i="7"/>
  <c r="AI65" i="7"/>
  <c r="AI66" i="7"/>
  <c r="AI67" i="7"/>
  <c r="AI68" i="7"/>
  <c r="AI69" i="7"/>
  <c r="AI70" i="7"/>
  <c r="AI71" i="7"/>
  <c r="AI72" i="7"/>
  <c r="AI73" i="7"/>
  <c r="AI74" i="7"/>
  <c r="AI75" i="7"/>
  <c r="AI76" i="7"/>
  <c r="AI77" i="7"/>
  <c r="AI78" i="7"/>
  <c r="AI79" i="7"/>
  <c r="AI80" i="7"/>
  <c r="AI81" i="7"/>
  <c r="AI82" i="7"/>
  <c r="AI83" i="7"/>
  <c r="AI84" i="7"/>
  <c r="AI85" i="7"/>
  <c r="AI86" i="7"/>
  <c r="AI87" i="7"/>
  <c r="AI88" i="7"/>
  <c r="AI89" i="7"/>
  <c r="AI90" i="7"/>
  <c r="AI91" i="7"/>
  <c r="AI92" i="7"/>
  <c r="AI93" i="7"/>
  <c r="AI94" i="7"/>
  <c r="AI95" i="7"/>
  <c r="AI96" i="7"/>
  <c r="AI97" i="7"/>
  <c r="AI98" i="7"/>
  <c r="AI99" i="7"/>
  <c r="AI100" i="7"/>
  <c r="AI101" i="7"/>
  <c r="AI102" i="7"/>
  <c r="AI103" i="7"/>
  <c r="AI104" i="7"/>
  <c r="AI105" i="7"/>
  <c r="AI106" i="7"/>
  <c r="AI107" i="7"/>
  <c r="AI108" i="7"/>
  <c r="AI109" i="7"/>
  <c r="AI110" i="7"/>
  <c r="AI111" i="7"/>
  <c r="AI112" i="7"/>
  <c r="AI113" i="7"/>
  <c r="AI114" i="7"/>
  <c r="AI115" i="7"/>
  <c r="AI116" i="7"/>
  <c r="AI117" i="7"/>
  <c r="AI118" i="7"/>
  <c r="AI119" i="7"/>
  <c r="AI120" i="7"/>
  <c r="AI121" i="7"/>
  <c r="AI122" i="7"/>
  <c r="AI123" i="7"/>
  <c r="AI124" i="7"/>
  <c r="AI125" i="7"/>
  <c r="AI126" i="7"/>
  <c r="AI127" i="7"/>
  <c r="AI128" i="7"/>
  <c r="AI129" i="7"/>
  <c r="AI130" i="7"/>
  <c r="AI131" i="7"/>
  <c r="AI132" i="7"/>
  <c r="AI134" i="7" l="1"/>
  <c r="V133" i="7"/>
  <c r="W146" i="7" l="1"/>
  <c r="V134" i="7"/>
  <c r="H5" i="9" l="1"/>
  <c r="H6" i="9"/>
  <c r="H7" i="9"/>
  <c r="H8" i="9"/>
  <c r="H9" i="9"/>
  <c r="H10" i="9"/>
  <c r="H11" i="9"/>
  <c r="H12" i="9"/>
  <c r="H14" i="9"/>
  <c r="H15" i="9"/>
  <c r="H16" i="9"/>
  <c r="H17" i="9"/>
  <c r="H18" i="9"/>
  <c r="H19" i="9"/>
  <c r="H4" i="9"/>
  <c r="S6" i="7" l="1"/>
  <c r="T6" i="7"/>
  <c r="S9" i="7"/>
  <c r="T9" i="7"/>
  <c r="S12" i="7"/>
  <c r="T12" i="7"/>
  <c r="P11" i="7"/>
  <c r="Q11" i="7"/>
  <c r="P28" i="7"/>
  <c r="Q28" i="7"/>
  <c r="P32" i="7"/>
  <c r="Q32" i="7"/>
  <c r="P57" i="7"/>
  <c r="Q57" i="7"/>
  <c r="P59" i="7"/>
  <c r="Q59" i="7"/>
  <c r="P69" i="7"/>
  <c r="Q69" i="7"/>
  <c r="P73" i="7"/>
  <c r="Q73" i="7"/>
  <c r="P80" i="7"/>
  <c r="Q80" i="7"/>
  <c r="P83" i="7"/>
  <c r="Q83" i="7"/>
  <c r="P90" i="7"/>
  <c r="Q90" i="7"/>
  <c r="P94" i="7"/>
  <c r="Q94" i="7"/>
  <c r="P98" i="7"/>
  <c r="Q98" i="7"/>
  <c r="P101" i="7"/>
  <c r="Q101" i="7"/>
  <c r="P114" i="7"/>
  <c r="Q114" i="7"/>
  <c r="P117" i="7"/>
  <c r="Q117" i="7"/>
  <c r="P118" i="7"/>
  <c r="Q118" i="7"/>
  <c r="P127" i="7"/>
  <c r="Q127" i="7"/>
  <c r="P128" i="7"/>
  <c r="Q128" i="7"/>
  <c r="T5" i="7"/>
  <c r="S5" i="7"/>
  <c r="M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3" i="7"/>
  <c r="H34" i="7"/>
  <c r="H35" i="7"/>
  <c r="H36" i="7"/>
  <c r="H37" i="7"/>
  <c r="H38" i="7"/>
  <c r="H39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L5" i="7" l="1"/>
  <c r="G6" i="7" l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6" i="7"/>
  <c r="G38" i="7"/>
  <c r="G39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AG135" i="6"/>
  <c r="AF135" i="6"/>
  <c r="AE135" i="6"/>
  <c r="AD135" i="6"/>
  <c r="AC135" i="6"/>
  <c r="AA135" i="6"/>
  <c r="Y135" i="6"/>
  <c r="X135" i="6"/>
  <c r="W135" i="6"/>
  <c r="U135" i="6"/>
  <c r="T135" i="6"/>
  <c r="R135" i="6"/>
  <c r="Q135" i="6"/>
  <c r="P135" i="6"/>
  <c r="N135" i="6"/>
  <c r="M135" i="6"/>
  <c r="K135" i="6"/>
  <c r="J135" i="6"/>
  <c r="H135" i="6"/>
  <c r="G135" i="6"/>
  <c r="F135" i="6"/>
  <c r="L38" i="2"/>
  <c r="L37" i="2"/>
  <c r="L36" i="2"/>
  <c r="K38" i="2"/>
  <c r="K37" i="2"/>
  <c r="K36" i="2"/>
  <c r="J38" i="2"/>
  <c r="J37" i="2"/>
  <c r="J36" i="2"/>
  <c r="I38" i="2"/>
  <c r="I37" i="2"/>
  <c r="I36" i="2"/>
  <c r="P135" i="5"/>
  <c r="O135" i="5"/>
  <c r="N135" i="5"/>
  <c r="L135" i="5"/>
  <c r="K135" i="5"/>
  <c r="J135" i="5"/>
  <c r="H135" i="5"/>
  <c r="G135" i="5"/>
  <c r="F135" i="5"/>
  <c r="L25" i="2"/>
  <c r="L24" i="2"/>
  <c r="L23" i="2"/>
  <c r="K25" i="2"/>
  <c r="K24" i="2"/>
  <c r="K23" i="2"/>
  <c r="J25" i="2"/>
  <c r="J24" i="2"/>
  <c r="J23" i="2"/>
  <c r="I25" i="2"/>
  <c r="I24" i="2"/>
  <c r="I23" i="2"/>
  <c r="P135" i="4"/>
  <c r="O135" i="4"/>
  <c r="N135" i="4"/>
  <c r="L135" i="4"/>
  <c r="K135" i="4"/>
  <c r="J135" i="4"/>
  <c r="G135" i="4"/>
  <c r="H135" i="4"/>
  <c r="F135" i="4"/>
  <c r="L14" i="2"/>
  <c r="L13" i="2"/>
  <c r="L12" i="2"/>
  <c r="K14" i="2"/>
  <c r="K13" i="2"/>
  <c r="K12" i="2"/>
  <c r="J14" i="2"/>
  <c r="J13" i="2"/>
  <c r="J12" i="2"/>
  <c r="I14" i="2"/>
  <c r="I13" i="2"/>
  <c r="I12" i="2"/>
  <c r="J71" i="3" l="1"/>
  <c r="Z133" i="7" l="1"/>
  <c r="Z134" i="7"/>
  <c r="R134" i="7"/>
  <c r="AF133" i="7"/>
  <c r="AF134" i="7"/>
  <c r="S136" i="7" l="1"/>
  <c r="S134" i="8" s="1"/>
  <c r="Z145" i="7"/>
  <c r="Z148" i="7"/>
  <c r="Z136" i="7"/>
  <c r="Z144" i="7"/>
  <c r="Z147" i="7"/>
  <c r="Z146" i="7"/>
  <c r="S142" i="7"/>
  <c r="S139" i="7"/>
  <c r="T142" i="7"/>
  <c r="T139" i="7"/>
  <c r="AF136" i="7"/>
  <c r="T136" i="7"/>
  <c r="S141" i="7"/>
  <c r="AE133" i="7" l="1"/>
  <c r="AC133" i="7"/>
  <c r="AE134" i="7"/>
  <c r="AD134" i="7"/>
  <c r="AC134" i="7"/>
  <c r="AB134" i="7"/>
  <c r="E152" i="4" l="1"/>
  <c r="W148" i="7"/>
  <c r="W147" i="7"/>
  <c r="W145" i="7"/>
  <c r="X148" i="7"/>
  <c r="X147" i="7"/>
  <c r="X146" i="7"/>
  <c r="X145" i="7"/>
  <c r="Y134" i="7"/>
  <c r="X134" i="7"/>
  <c r="X144" i="7" s="1"/>
  <c r="W134" i="7"/>
  <c r="Y133" i="7"/>
  <c r="X133" i="7"/>
  <c r="W133" i="7"/>
  <c r="Y146" i="7" l="1"/>
  <c r="W144" i="7"/>
  <c r="Y147" i="7"/>
  <c r="Y148" i="7"/>
  <c r="Y145" i="7"/>
  <c r="Q172" i="3"/>
  <c r="R172" i="3"/>
  <c r="Q173" i="3"/>
  <c r="R173" i="3"/>
  <c r="Q174" i="3"/>
  <c r="R174" i="3"/>
  <c r="Q175" i="3"/>
  <c r="R175" i="3"/>
  <c r="P173" i="3"/>
  <c r="P174" i="3"/>
  <c r="P175" i="3"/>
  <c r="P172" i="3"/>
  <c r="Q170" i="3"/>
  <c r="R170" i="3"/>
  <c r="P170" i="3"/>
  <c r="S173" i="3" l="1"/>
  <c r="S175" i="3"/>
  <c r="S174" i="3"/>
  <c r="S170" i="3"/>
  <c r="S172" i="3"/>
  <c r="L6" i="3" l="1"/>
  <c r="M6" i="3"/>
  <c r="N6" i="3"/>
  <c r="L7" i="3"/>
  <c r="M7" i="3"/>
  <c r="N7" i="3"/>
  <c r="L8" i="3"/>
  <c r="M8" i="3"/>
  <c r="N8" i="3"/>
  <c r="L9" i="3"/>
  <c r="M9" i="3"/>
  <c r="N9" i="3"/>
  <c r="L10" i="3"/>
  <c r="M10" i="3"/>
  <c r="N10" i="3"/>
  <c r="L11" i="3"/>
  <c r="M11" i="3"/>
  <c r="N11" i="3"/>
  <c r="L12" i="3"/>
  <c r="M12" i="3"/>
  <c r="N12" i="3"/>
  <c r="L13" i="3"/>
  <c r="M13" i="3"/>
  <c r="N13" i="3"/>
  <c r="L14" i="3"/>
  <c r="M14" i="3"/>
  <c r="N14" i="3"/>
  <c r="L15" i="3"/>
  <c r="M15" i="3"/>
  <c r="N15" i="3"/>
  <c r="L16" i="3"/>
  <c r="M16" i="3"/>
  <c r="N16" i="3"/>
  <c r="L17" i="3"/>
  <c r="M17" i="3"/>
  <c r="N17" i="3"/>
  <c r="L18" i="3"/>
  <c r="M18" i="3"/>
  <c r="N18" i="3"/>
  <c r="L19" i="3"/>
  <c r="M19" i="3"/>
  <c r="N19" i="3"/>
  <c r="L20" i="3"/>
  <c r="M20" i="3"/>
  <c r="N20" i="3"/>
  <c r="L21" i="3"/>
  <c r="M21" i="3"/>
  <c r="N21" i="3"/>
  <c r="L22" i="3"/>
  <c r="M22" i="3"/>
  <c r="N22" i="3"/>
  <c r="L23" i="3"/>
  <c r="M23" i="3"/>
  <c r="N23" i="3"/>
  <c r="L24" i="3"/>
  <c r="M24" i="3"/>
  <c r="N24" i="3"/>
  <c r="L25" i="3"/>
  <c r="M25" i="3"/>
  <c r="N25" i="3"/>
  <c r="L26" i="3"/>
  <c r="M26" i="3"/>
  <c r="N26" i="3"/>
  <c r="L27" i="3"/>
  <c r="M27" i="3"/>
  <c r="N27" i="3"/>
  <c r="L28" i="3"/>
  <c r="M28" i="3"/>
  <c r="N28" i="3"/>
  <c r="L29" i="3"/>
  <c r="M29" i="3"/>
  <c r="N29" i="3"/>
  <c r="L30" i="3"/>
  <c r="M30" i="3"/>
  <c r="N30" i="3"/>
  <c r="L31" i="3"/>
  <c r="M31" i="3"/>
  <c r="N31" i="3"/>
  <c r="L32" i="3"/>
  <c r="M32" i="3"/>
  <c r="N32" i="3"/>
  <c r="L33" i="3"/>
  <c r="M33" i="3"/>
  <c r="N33" i="3"/>
  <c r="L34" i="3"/>
  <c r="M34" i="3"/>
  <c r="N34" i="3"/>
  <c r="L35" i="3"/>
  <c r="M35" i="3"/>
  <c r="N35" i="3"/>
  <c r="L36" i="3"/>
  <c r="M36" i="3"/>
  <c r="N36" i="3"/>
  <c r="L37" i="3"/>
  <c r="M37" i="3"/>
  <c r="N37" i="3"/>
  <c r="L38" i="3"/>
  <c r="M38" i="3"/>
  <c r="N38" i="3"/>
  <c r="L39" i="3"/>
  <c r="M39" i="3"/>
  <c r="N39" i="3"/>
  <c r="L40" i="3"/>
  <c r="M40" i="3"/>
  <c r="N40" i="3"/>
  <c r="L41" i="3"/>
  <c r="M41" i="3"/>
  <c r="N41" i="3"/>
  <c r="L42" i="3"/>
  <c r="M42" i="3"/>
  <c r="N42" i="3"/>
  <c r="L43" i="3"/>
  <c r="M43" i="3"/>
  <c r="N43" i="3"/>
  <c r="L44" i="3"/>
  <c r="M44" i="3"/>
  <c r="N44" i="3"/>
  <c r="L45" i="3"/>
  <c r="M45" i="3"/>
  <c r="N45" i="3"/>
  <c r="L46" i="3"/>
  <c r="M46" i="3"/>
  <c r="N46" i="3"/>
  <c r="L47" i="3"/>
  <c r="M47" i="3"/>
  <c r="N47" i="3"/>
  <c r="L48" i="3"/>
  <c r="M48" i="3"/>
  <c r="N48" i="3"/>
  <c r="L49" i="3"/>
  <c r="M49" i="3"/>
  <c r="N49" i="3"/>
  <c r="L50" i="3"/>
  <c r="M50" i="3"/>
  <c r="N50" i="3"/>
  <c r="L51" i="3"/>
  <c r="M51" i="3"/>
  <c r="N51" i="3"/>
  <c r="L52" i="3"/>
  <c r="M52" i="3"/>
  <c r="N52" i="3"/>
  <c r="L53" i="3"/>
  <c r="M53" i="3"/>
  <c r="N53" i="3"/>
  <c r="L54" i="3"/>
  <c r="M54" i="3"/>
  <c r="N54" i="3"/>
  <c r="L55" i="3"/>
  <c r="M55" i="3"/>
  <c r="N55" i="3"/>
  <c r="L56" i="3"/>
  <c r="M56" i="3"/>
  <c r="N56" i="3"/>
  <c r="L57" i="3"/>
  <c r="M57" i="3"/>
  <c r="N57" i="3"/>
  <c r="L58" i="3"/>
  <c r="M58" i="3"/>
  <c r="N58" i="3"/>
  <c r="L59" i="3"/>
  <c r="M59" i="3"/>
  <c r="N59" i="3"/>
  <c r="L60" i="3"/>
  <c r="M60" i="3"/>
  <c r="N60" i="3"/>
  <c r="L61" i="3"/>
  <c r="M61" i="3"/>
  <c r="N61" i="3"/>
  <c r="L62" i="3"/>
  <c r="M62" i="3"/>
  <c r="N62" i="3"/>
  <c r="L63" i="3"/>
  <c r="M63" i="3"/>
  <c r="N63" i="3"/>
  <c r="L64" i="3"/>
  <c r="M64" i="3"/>
  <c r="N64" i="3"/>
  <c r="L65" i="3"/>
  <c r="M65" i="3"/>
  <c r="N65" i="3"/>
  <c r="L66" i="3"/>
  <c r="M66" i="3"/>
  <c r="N66" i="3"/>
  <c r="L67" i="3"/>
  <c r="M67" i="3"/>
  <c r="N67" i="3"/>
  <c r="L68" i="3"/>
  <c r="M68" i="3"/>
  <c r="N68" i="3"/>
  <c r="L69" i="3"/>
  <c r="M69" i="3"/>
  <c r="N69" i="3"/>
  <c r="L70" i="3"/>
  <c r="M70" i="3"/>
  <c r="N70" i="3"/>
  <c r="L71" i="3"/>
  <c r="M71" i="3"/>
  <c r="N71" i="3"/>
  <c r="L72" i="3"/>
  <c r="M72" i="3"/>
  <c r="N72" i="3"/>
  <c r="L73" i="3"/>
  <c r="M73" i="3"/>
  <c r="N73" i="3"/>
  <c r="L74" i="3"/>
  <c r="M74" i="3"/>
  <c r="N74" i="3"/>
  <c r="L75" i="3"/>
  <c r="M75" i="3"/>
  <c r="N75" i="3"/>
  <c r="L76" i="3"/>
  <c r="M76" i="3"/>
  <c r="N76" i="3"/>
  <c r="L77" i="3"/>
  <c r="M77" i="3"/>
  <c r="N77" i="3"/>
  <c r="L78" i="3"/>
  <c r="M78" i="3"/>
  <c r="N78" i="3"/>
  <c r="L79" i="3"/>
  <c r="M79" i="3"/>
  <c r="N79" i="3"/>
  <c r="L80" i="3"/>
  <c r="M80" i="3"/>
  <c r="N80" i="3"/>
  <c r="L81" i="3"/>
  <c r="M81" i="3"/>
  <c r="N81" i="3"/>
  <c r="L82" i="3"/>
  <c r="M82" i="3"/>
  <c r="N82" i="3"/>
  <c r="L83" i="3"/>
  <c r="M83" i="3"/>
  <c r="N83" i="3"/>
  <c r="L84" i="3"/>
  <c r="M84" i="3"/>
  <c r="N84" i="3"/>
  <c r="L85" i="3"/>
  <c r="M85" i="3"/>
  <c r="N85" i="3"/>
  <c r="L86" i="3"/>
  <c r="M86" i="3"/>
  <c r="N86" i="3"/>
  <c r="L87" i="3"/>
  <c r="M87" i="3"/>
  <c r="N87" i="3"/>
  <c r="L88" i="3"/>
  <c r="M88" i="3"/>
  <c r="N88" i="3"/>
  <c r="L89" i="3"/>
  <c r="M89" i="3"/>
  <c r="N89" i="3"/>
  <c r="L90" i="3"/>
  <c r="M90" i="3"/>
  <c r="N90" i="3"/>
  <c r="L91" i="3"/>
  <c r="M91" i="3"/>
  <c r="N91" i="3"/>
  <c r="L92" i="3"/>
  <c r="M92" i="3"/>
  <c r="N92" i="3"/>
  <c r="L93" i="3"/>
  <c r="M93" i="3"/>
  <c r="N93" i="3"/>
  <c r="L94" i="3"/>
  <c r="M94" i="3"/>
  <c r="N94" i="3"/>
  <c r="L95" i="3"/>
  <c r="M95" i="3"/>
  <c r="N95" i="3"/>
  <c r="L96" i="3"/>
  <c r="M96" i="3"/>
  <c r="N96" i="3"/>
  <c r="L97" i="3"/>
  <c r="M97" i="3"/>
  <c r="N97" i="3"/>
  <c r="L98" i="3"/>
  <c r="M98" i="3"/>
  <c r="N98" i="3"/>
  <c r="L99" i="3"/>
  <c r="M99" i="3"/>
  <c r="N99" i="3"/>
  <c r="L100" i="3"/>
  <c r="M100" i="3"/>
  <c r="N100" i="3"/>
  <c r="L101" i="3"/>
  <c r="M101" i="3"/>
  <c r="N101" i="3"/>
  <c r="L102" i="3"/>
  <c r="M102" i="3"/>
  <c r="N102" i="3"/>
  <c r="L103" i="3"/>
  <c r="M103" i="3"/>
  <c r="N103" i="3"/>
  <c r="L104" i="3"/>
  <c r="M104" i="3"/>
  <c r="N104" i="3"/>
  <c r="L105" i="3"/>
  <c r="M105" i="3"/>
  <c r="N105" i="3"/>
  <c r="L106" i="3"/>
  <c r="M106" i="3"/>
  <c r="N106" i="3"/>
  <c r="L107" i="3"/>
  <c r="M107" i="3"/>
  <c r="N107" i="3"/>
  <c r="L108" i="3"/>
  <c r="M108" i="3"/>
  <c r="N108" i="3"/>
  <c r="L109" i="3"/>
  <c r="M109" i="3"/>
  <c r="N109" i="3"/>
  <c r="L110" i="3"/>
  <c r="M110" i="3"/>
  <c r="N110" i="3"/>
  <c r="L111" i="3"/>
  <c r="M111" i="3"/>
  <c r="N111" i="3"/>
  <c r="L112" i="3"/>
  <c r="M112" i="3"/>
  <c r="N112" i="3"/>
  <c r="L113" i="3"/>
  <c r="M113" i="3"/>
  <c r="N113" i="3"/>
  <c r="L114" i="3"/>
  <c r="M114" i="3"/>
  <c r="N114" i="3"/>
  <c r="L115" i="3"/>
  <c r="M115" i="3"/>
  <c r="N115" i="3"/>
  <c r="L116" i="3"/>
  <c r="M116" i="3"/>
  <c r="N116" i="3"/>
  <c r="L117" i="3"/>
  <c r="M117" i="3"/>
  <c r="N117" i="3"/>
  <c r="L118" i="3"/>
  <c r="M118" i="3"/>
  <c r="N118" i="3"/>
  <c r="L119" i="3"/>
  <c r="M119" i="3"/>
  <c r="N119" i="3"/>
  <c r="L120" i="3"/>
  <c r="M120" i="3"/>
  <c r="N120" i="3"/>
  <c r="L121" i="3"/>
  <c r="M121" i="3"/>
  <c r="N121" i="3"/>
  <c r="L122" i="3"/>
  <c r="M122" i="3"/>
  <c r="N122" i="3"/>
  <c r="L123" i="3"/>
  <c r="M123" i="3"/>
  <c r="N123" i="3"/>
  <c r="L124" i="3"/>
  <c r="M124" i="3"/>
  <c r="N124" i="3"/>
  <c r="L125" i="3"/>
  <c r="M125" i="3"/>
  <c r="N125" i="3"/>
  <c r="L126" i="3"/>
  <c r="M126" i="3"/>
  <c r="N126" i="3"/>
  <c r="L127" i="3"/>
  <c r="M127" i="3"/>
  <c r="N127" i="3"/>
  <c r="L128" i="3"/>
  <c r="M128" i="3"/>
  <c r="N128" i="3"/>
  <c r="L129" i="3"/>
  <c r="M129" i="3"/>
  <c r="N129" i="3"/>
  <c r="L130" i="3"/>
  <c r="M130" i="3"/>
  <c r="N130" i="3"/>
  <c r="L131" i="3"/>
  <c r="M131" i="3"/>
  <c r="N131" i="3"/>
  <c r="L132" i="3"/>
  <c r="M132" i="3"/>
  <c r="N132" i="3"/>
  <c r="L133" i="3"/>
  <c r="M133" i="3"/>
  <c r="N133" i="3"/>
  <c r="L138" i="3" l="1"/>
  <c r="L137" i="3"/>
  <c r="M139" i="3"/>
  <c r="L139" i="3"/>
  <c r="N138" i="3"/>
  <c r="N137" i="3"/>
  <c r="M140" i="3"/>
  <c r="N140" i="3"/>
  <c r="M138" i="3"/>
  <c r="M137" i="3"/>
  <c r="N139" i="3"/>
  <c r="L140" i="3"/>
  <c r="H37" i="2"/>
  <c r="H38" i="2" l="1"/>
  <c r="Q142" i="7"/>
  <c r="I48" i="2"/>
  <c r="I49" i="2"/>
  <c r="I7" i="3"/>
  <c r="J7" i="3"/>
  <c r="K7" i="3"/>
  <c r="I8" i="3"/>
  <c r="J8" i="3"/>
  <c r="K8" i="3"/>
  <c r="I9" i="3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I17" i="3"/>
  <c r="J17" i="3"/>
  <c r="K17" i="3"/>
  <c r="I18" i="3"/>
  <c r="J18" i="3"/>
  <c r="K18" i="3"/>
  <c r="I19" i="3"/>
  <c r="J19" i="3"/>
  <c r="K19" i="3"/>
  <c r="I20" i="3"/>
  <c r="J20" i="3"/>
  <c r="K20" i="3"/>
  <c r="I21" i="3"/>
  <c r="J21" i="3"/>
  <c r="K21" i="3"/>
  <c r="I22" i="3"/>
  <c r="J22" i="3"/>
  <c r="K22" i="3"/>
  <c r="I23" i="3"/>
  <c r="J23" i="3"/>
  <c r="K23" i="3"/>
  <c r="I24" i="3"/>
  <c r="J24" i="3"/>
  <c r="K24" i="3"/>
  <c r="I25" i="3"/>
  <c r="J25" i="3"/>
  <c r="K25" i="3"/>
  <c r="I26" i="3"/>
  <c r="J26" i="3"/>
  <c r="K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I34" i="3"/>
  <c r="J34" i="3"/>
  <c r="K34" i="3"/>
  <c r="I35" i="3"/>
  <c r="J35" i="3"/>
  <c r="K35" i="3"/>
  <c r="I36" i="3"/>
  <c r="J36" i="3"/>
  <c r="K36" i="3"/>
  <c r="I37" i="3"/>
  <c r="J37" i="3"/>
  <c r="K37" i="3"/>
  <c r="I38" i="3"/>
  <c r="J38" i="3"/>
  <c r="K38" i="3"/>
  <c r="I39" i="3"/>
  <c r="J39" i="3"/>
  <c r="K39" i="3"/>
  <c r="I40" i="3"/>
  <c r="J40" i="3"/>
  <c r="K40" i="3"/>
  <c r="I41" i="3"/>
  <c r="J41" i="3"/>
  <c r="K41" i="3"/>
  <c r="I42" i="3"/>
  <c r="J42" i="3"/>
  <c r="K42" i="3"/>
  <c r="I43" i="3"/>
  <c r="J43" i="3"/>
  <c r="K43" i="3"/>
  <c r="I44" i="3"/>
  <c r="J44" i="3"/>
  <c r="K44" i="3"/>
  <c r="I46" i="3"/>
  <c r="J46" i="3"/>
  <c r="K46" i="3"/>
  <c r="I47" i="3"/>
  <c r="J47" i="3"/>
  <c r="K47" i="3"/>
  <c r="I48" i="3"/>
  <c r="J48" i="3"/>
  <c r="K48" i="3"/>
  <c r="I49" i="3"/>
  <c r="J49" i="3"/>
  <c r="K49" i="3"/>
  <c r="I50" i="3"/>
  <c r="J50" i="3"/>
  <c r="K50" i="3"/>
  <c r="I51" i="3"/>
  <c r="J51" i="3"/>
  <c r="K51" i="3"/>
  <c r="I52" i="3"/>
  <c r="J52" i="3"/>
  <c r="K52" i="3"/>
  <c r="I53" i="3"/>
  <c r="J53" i="3"/>
  <c r="K53" i="3"/>
  <c r="I54" i="3"/>
  <c r="J54" i="3"/>
  <c r="K54" i="3"/>
  <c r="I55" i="3"/>
  <c r="J55" i="3"/>
  <c r="K55" i="3"/>
  <c r="I56" i="3"/>
  <c r="J56" i="3"/>
  <c r="K56" i="3"/>
  <c r="I57" i="3"/>
  <c r="J57" i="3"/>
  <c r="K57" i="3"/>
  <c r="I58" i="3"/>
  <c r="J58" i="3"/>
  <c r="K58" i="3"/>
  <c r="I59" i="3"/>
  <c r="J59" i="3"/>
  <c r="K59" i="3"/>
  <c r="I60" i="3"/>
  <c r="J60" i="3"/>
  <c r="K60" i="3"/>
  <c r="I61" i="3"/>
  <c r="J61" i="3"/>
  <c r="K61" i="3"/>
  <c r="I62" i="3"/>
  <c r="J62" i="3"/>
  <c r="K62" i="3"/>
  <c r="I63" i="3"/>
  <c r="J63" i="3"/>
  <c r="K63" i="3"/>
  <c r="I64" i="3"/>
  <c r="J64" i="3"/>
  <c r="K64" i="3"/>
  <c r="I65" i="3"/>
  <c r="J65" i="3"/>
  <c r="K65" i="3"/>
  <c r="I66" i="3"/>
  <c r="J66" i="3"/>
  <c r="K66" i="3"/>
  <c r="I67" i="3"/>
  <c r="J67" i="3"/>
  <c r="K67" i="3"/>
  <c r="I68" i="3"/>
  <c r="J68" i="3"/>
  <c r="K68" i="3"/>
  <c r="I69" i="3"/>
  <c r="J69" i="3"/>
  <c r="K69" i="3"/>
  <c r="I70" i="3"/>
  <c r="J70" i="3"/>
  <c r="K70" i="3"/>
  <c r="I71" i="3"/>
  <c r="K71" i="3"/>
  <c r="I72" i="3"/>
  <c r="J72" i="3"/>
  <c r="K72" i="3"/>
  <c r="I73" i="3"/>
  <c r="J73" i="3"/>
  <c r="K73" i="3"/>
  <c r="I74" i="3"/>
  <c r="J74" i="3"/>
  <c r="K74" i="3"/>
  <c r="I75" i="3"/>
  <c r="J75" i="3"/>
  <c r="K75" i="3"/>
  <c r="I76" i="3"/>
  <c r="J76" i="3"/>
  <c r="K76" i="3"/>
  <c r="I77" i="3"/>
  <c r="J77" i="3"/>
  <c r="K77" i="3"/>
  <c r="I78" i="3"/>
  <c r="J78" i="3"/>
  <c r="K78" i="3"/>
  <c r="I79" i="3"/>
  <c r="J79" i="3"/>
  <c r="K79" i="3"/>
  <c r="I80" i="3"/>
  <c r="J80" i="3"/>
  <c r="K80" i="3"/>
  <c r="I81" i="3"/>
  <c r="J81" i="3"/>
  <c r="K81" i="3"/>
  <c r="I82" i="3"/>
  <c r="J82" i="3"/>
  <c r="K82" i="3"/>
  <c r="I83" i="3"/>
  <c r="J83" i="3"/>
  <c r="K83" i="3"/>
  <c r="I84" i="3"/>
  <c r="J84" i="3"/>
  <c r="K84" i="3"/>
  <c r="I85" i="3"/>
  <c r="J85" i="3"/>
  <c r="K85" i="3"/>
  <c r="I86" i="3"/>
  <c r="J86" i="3"/>
  <c r="K86" i="3"/>
  <c r="I87" i="3"/>
  <c r="J87" i="3"/>
  <c r="K87" i="3"/>
  <c r="I88" i="3"/>
  <c r="J88" i="3"/>
  <c r="K88" i="3"/>
  <c r="I89" i="3"/>
  <c r="J89" i="3"/>
  <c r="K89" i="3"/>
  <c r="I90" i="3"/>
  <c r="J90" i="3"/>
  <c r="K90" i="3"/>
  <c r="I91" i="3"/>
  <c r="J91" i="3"/>
  <c r="K91" i="3"/>
  <c r="I92" i="3"/>
  <c r="J92" i="3"/>
  <c r="K92" i="3"/>
  <c r="I93" i="3"/>
  <c r="J93" i="3"/>
  <c r="K93" i="3"/>
  <c r="I94" i="3"/>
  <c r="J94" i="3"/>
  <c r="K94" i="3"/>
  <c r="I95" i="3"/>
  <c r="J95" i="3"/>
  <c r="K95" i="3"/>
  <c r="I96" i="3"/>
  <c r="J96" i="3"/>
  <c r="K96" i="3"/>
  <c r="I97" i="3"/>
  <c r="J97" i="3"/>
  <c r="K97" i="3"/>
  <c r="I98" i="3"/>
  <c r="J98" i="3"/>
  <c r="K98" i="3"/>
  <c r="I99" i="3"/>
  <c r="J99" i="3"/>
  <c r="K99" i="3"/>
  <c r="I100" i="3"/>
  <c r="J100" i="3"/>
  <c r="K100" i="3"/>
  <c r="I101" i="3"/>
  <c r="J101" i="3"/>
  <c r="K101" i="3"/>
  <c r="I102" i="3"/>
  <c r="J102" i="3"/>
  <c r="K102" i="3"/>
  <c r="I103" i="3"/>
  <c r="J103" i="3"/>
  <c r="K103" i="3"/>
  <c r="I104" i="3"/>
  <c r="J104" i="3"/>
  <c r="K104" i="3"/>
  <c r="I105" i="3"/>
  <c r="J105" i="3"/>
  <c r="K105" i="3"/>
  <c r="I106" i="3"/>
  <c r="J106" i="3"/>
  <c r="K106" i="3"/>
  <c r="I107" i="3"/>
  <c r="J107" i="3"/>
  <c r="K107" i="3"/>
  <c r="I108" i="3"/>
  <c r="J108" i="3"/>
  <c r="K108" i="3"/>
  <c r="I109" i="3"/>
  <c r="J109" i="3"/>
  <c r="K109" i="3"/>
  <c r="I110" i="3"/>
  <c r="J110" i="3"/>
  <c r="K110" i="3"/>
  <c r="I111" i="3"/>
  <c r="J111" i="3"/>
  <c r="K111" i="3"/>
  <c r="I112" i="3"/>
  <c r="J112" i="3"/>
  <c r="K112" i="3"/>
  <c r="I113" i="3"/>
  <c r="J113" i="3"/>
  <c r="K113" i="3"/>
  <c r="I114" i="3"/>
  <c r="J114" i="3"/>
  <c r="K114" i="3"/>
  <c r="I115" i="3"/>
  <c r="J115" i="3"/>
  <c r="K115" i="3"/>
  <c r="I116" i="3"/>
  <c r="J116" i="3"/>
  <c r="K116" i="3"/>
  <c r="I117" i="3"/>
  <c r="J117" i="3"/>
  <c r="K117" i="3"/>
  <c r="I118" i="3"/>
  <c r="J118" i="3"/>
  <c r="K118" i="3"/>
  <c r="I119" i="3"/>
  <c r="J119" i="3"/>
  <c r="K119" i="3"/>
  <c r="I120" i="3"/>
  <c r="J120" i="3"/>
  <c r="K120" i="3"/>
  <c r="I121" i="3"/>
  <c r="J121" i="3"/>
  <c r="K121" i="3"/>
  <c r="I122" i="3"/>
  <c r="J122" i="3"/>
  <c r="K122" i="3"/>
  <c r="I123" i="3"/>
  <c r="J123" i="3"/>
  <c r="K123" i="3"/>
  <c r="I124" i="3"/>
  <c r="J124" i="3"/>
  <c r="K124" i="3"/>
  <c r="I125" i="3"/>
  <c r="J125" i="3"/>
  <c r="K125" i="3"/>
  <c r="I126" i="3"/>
  <c r="J126" i="3"/>
  <c r="K126" i="3"/>
  <c r="I127" i="3"/>
  <c r="J127" i="3"/>
  <c r="K127" i="3"/>
  <c r="I128" i="3"/>
  <c r="J128" i="3"/>
  <c r="K128" i="3"/>
  <c r="I129" i="3"/>
  <c r="J129" i="3"/>
  <c r="K129" i="3"/>
  <c r="I130" i="3"/>
  <c r="J130" i="3"/>
  <c r="K130" i="3"/>
  <c r="I131" i="3"/>
  <c r="J131" i="3"/>
  <c r="K131" i="3"/>
  <c r="I132" i="3"/>
  <c r="J132" i="3"/>
  <c r="K132" i="3"/>
  <c r="I133" i="3"/>
  <c r="J133" i="3"/>
  <c r="K133" i="3"/>
  <c r="J6" i="3"/>
  <c r="K6" i="3"/>
  <c r="I6" i="3"/>
  <c r="F6" i="3"/>
  <c r="G6" i="3"/>
  <c r="H6" i="3"/>
  <c r="F7" i="3"/>
  <c r="G7" i="3"/>
  <c r="H7" i="3"/>
  <c r="F8" i="3"/>
  <c r="G8" i="3"/>
  <c r="H8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1" i="3"/>
  <c r="G41" i="3"/>
  <c r="H41" i="3"/>
  <c r="F42" i="3"/>
  <c r="G42" i="3"/>
  <c r="H42" i="3"/>
  <c r="F43" i="3"/>
  <c r="G43" i="3"/>
  <c r="H43" i="3"/>
  <c r="F44" i="3"/>
  <c r="G44" i="3"/>
  <c r="H44" i="3"/>
  <c r="P45" i="3"/>
  <c r="Q45" i="3"/>
  <c r="R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2" i="3"/>
  <c r="G62" i="3"/>
  <c r="H62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Q71" i="3" s="1"/>
  <c r="H71" i="3"/>
  <c r="F72" i="3"/>
  <c r="G72" i="3"/>
  <c r="H72" i="3"/>
  <c r="F73" i="3"/>
  <c r="G73" i="3"/>
  <c r="H73" i="3"/>
  <c r="F74" i="3"/>
  <c r="G74" i="3"/>
  <c r="H74" i="3"/>
  <c r="F75" i="3"/>
  <c r="G75" i="3"/>
  <c r="H75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81" i="3"/>
  <c r="G81" i="3"/>
  <c r="H81" i="3"/>
  <c r="F82" i="3"/>
  <c r="G82" i="3"/>
  <c r="H82" i="3"/>
  <c r="F83" i="3"/>
  <c r="G83" i="3"/>
  <c r="H83" i="3"/>
  <c r="F84" i="3"/>
  <c r="G84" i="3"/>
  <c r="H84" i="3"/>
  <c r="F85" i="3"/>
  <c r="G85" i="3"/>
  <c r="H85" i="3"/>
  <c r="F86" i="3"/>
  <c r="G86" i="3"/>
  <c r="H86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3" i="3"/>
  <c r="G93" i="3"/>
  <c r="H93" i="3"/>
  <c r="F94" i="3"/>
  <c r="G94" i="3"/>
  <c r="H94" i="3"/>
  <c r="F95" i="3"/>
  <c r="G95" i="3"/>
  <c r="H95" i="3"/>
  <c r="F96" i="3"/>
  <c r="G96" i="3"/>
  <c r="H96" i="3"/>
  <c r="F97" i="3"/>
  <c r="G97" i="3"/>
  <c r="H97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4" i="3"/>
  <c r="G104" i="3"/>
  <c r="H104" i="3"/>
  <c r="F105" i="3"/>
  <c r="G105" i="3"/>
  <c r="H105" i="3"/>
  <c r="F106" i="3"/>
  <c r="G106" i="3"/>
  <c r="H106" i="3"/>
  <c r="F107" i="3"/>
  <c r="G107" i="3"/>
  <c r="H107" i="3"/>
  <c r="F108" i="3"/>
  <c r="G108" i="3"/>
  <c r="H108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0" i="3"/>
  <c r="G120" i="3"/>
  <c r="H120" i="3"/>
  <c r="F121" i="3"/>
  <c r="G121" i="3"/>
  <c r="H121" i="3"/>
  <c r="F122" i="3"/>
  <c r="G122" i="3"/>
  <c r="H122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1" i="3"/>
  <c r="G131" i="3"/>
  <c r="H131" i="3"/>
  <c r="F132" i="3"/>
  <c r="G132" i="3"/>
  <c r="H132" i="3"/>
  <c r="F133" i="3"/>
  <c r="G133" i="3"/>
  <c r="H133" i="3"/>
  <c r="V45" i="3" l="1"/>
  <c r="U45" i="3"/>
  <c r="G138" i="3"/>
  <c r="C9" i="2" s="1"/>
  <c r="G137" i="3"/>
  <c r="C8" i="2" s="1"/>
  <c r="H139" i="3"/>
  <c r="D10" i="2" s="1"/>
  <c r="F140" i="3"/>
  <c r="I138" i="3"/>
  <c r="B15" i="2" s="1"/>
  <c r="I137" i="3"/>
  <c r="J139" i="3"/>
  <c r="C16" i="2" s="1"/>
  <c r="F138" i="3"/>
  <c r="B9" i="2" s="1"/>
  <c r="F137" i="3"/>
  <c r="G139" i="3"/>
  <c r="I140" i="3"/>
  <c r="B17" i="2" s="1"/>
  <c r="I139" i="3"/>
  <c r="B16" i="2" s="1"/>
  <c r="F139" i="3"/>
  <c r="B10" i="2" s="1"/>
  <c r="H140" i="3"/>
  <c r="D11" i="2" s="1"/>
  <c r="K140" i="3"/>
  <c r="K138" i="3"/>
  <c r="D15" i="2" s="1"/>
  <c r="K137" i="3"/>
  <c r="D14" i="2" s="1"/>
  <c r="H138" i="3"/>
  <c r="D9" i="2" s="1"/>
  <c r="H137" i="3"/>
  <c r="G140" i="3"/>
  <c r="C11" i="2" s="1"/>
  <c r="J140" i="3"/>
  <c r="C17" i="2" s="1"/>
  <c r="J138" i="3"/>
  <c r="C15" i="2" s="1"/>
  <c r="J137" i="3"/>
  <c r="C14" i="2" s="1"/>
  <c r="K139" i="3"/>
  <c r="D16" i="2" s="1"/>
  <c r="Q133" i="3"/>
  <c r="Q129" i="3"/>
  <c r="Q121" i="3"/>
  <c r="R130" i="3"/>
  <c r="R126" i="3"/>
  <c r="P124" i="3"/>
  <c r="P120" i="3"/>
  <c r="R118" i="3"/>
  <c r="P116" i="3"/>
  <c r="R114" i="3"/>
  <c r="Q113" i="3"/>
  <c r="P112" i="3"/>
  <c r="R110" i="3"/>
  <c r="Q109" i="3"/>
  <c r="P108" i="3"/>
  <c r="R106" i="3"/>
  <c r="Q105" i="3"/>
  <c r="P104" i="3"/>
  <c r="R102" i="3"/>
  <c r="Q101" i="3"/>
  <c r="P100" i="3"/>
  <c r="R98" i="3"/>
  <c r="Q97" i="3"/>
  <c r="P96" i="3"/>
  <c r="R94" i="3"/>
  <c r="Q93" i="3"/>
  <c r="P92" i="3"/>
  <c r="R90" i="3"/>
  <c r="Q89" i="3"/>
  <c r="P88" i="3"/>
  <c r="R86" i="3"/>
  <c r="Q85" i="3"/>
  <c r="P84" i="3"/>
  <c r="R82" i="3"/>
  <c r="Q81" i="3"/>
  <c r="P80" i="3"/>
  <c r="R78" i="3"/>
  <c r="P76" i="3"/>
  <c r="R74" i="3"/>
  <c r="Q73" i="3"/>
  <c r="P72" i="3"/>
  <c r="P44" i="3"/>
  <c r="R42" i="3"/>
  <c r="Q41" i="3"/>
  <c r="P40" i="3"/>
  <c r="R38" i="3"/>
  <c r="Q37" i="3"/>
  <c r="P36" i="3"/>
  <c r="R34" i="3"/>
  <c r="Q33" i="3"/>
  <c r="P32" i="3"/>
  <c r="R30" i="3"/>
  <c r="Q29" i="3"/>
  <c r="P28" i="3"/>
  <c r="R26" i="3"/>
  <c r="Q25" i="3"/>
  <c r="P24" i="3"/>
  <c r="R22" i="3"/>
  <c r="Q21" i="3"/>
  <c r="P20" i="3"/>
  <c r="R18" i="3"/>
  <c r="Q17" i="3"/>
  <c r="P16" i="3"/>
  <c r="R14" i="3"/>
  <c r="Q13" i="3"/>
  <c r="P12" i="3"/>
  <c r="R10" i="3"/>
  <c r="Q9" i="3"/>
  <c r="P8" i="3"/>
  <c r="P132" i="3"/>
  <c r="P128" i="3"/>
  <c r="Q125" i="3"/>
  <c r="R122" i="3"/>
  <c r="Q117" i="3"/>
  <c r="Q70" i="3"/>
  <c r="P69" i="3"/>
  <c r="R67" i="3"/>
  <c r="Q66" i="3"/>
  <c r="P65" i="3"/>
  <c r="R63" i="3"/>
  <c r="Q62" i="3"/>
  <c r="P61" i="3"/>
  <c r="R59" i="3"/>
  <c r="Q58" i="3"/>
  <c r="P57" i="3"/>
  <c r="R55" i="3"/>
  <c r="Q54" i="3"/>
  <c r="P53" i="3"/>
  <c r="R51" i="3"/>
  <c r="Q50" i="3"/>
  <c r="P49" i="3"/>
  <c r="R47" i="3"/>
  <c r="Q46" i="3"/>
  <c r="Q139" i="7"/>
  <c r="H140" i="7"/>
  <c r="M142" i="7"/>
  <c r="M147" i="7" s="1"/>
  <c r="M140" i="7"/>
  <c r="M145" i="7" s="1"/>
  <c r="Q141" i="7"/>
  <c r="H142" i="7"/>
  <c r="M139" i="7"/>
  <c r="M144" i="7" s="1"/>
  <c r="Q140" i="7"/>
  <c r="H141" i="7"/>
  <c r="Q130" i="3"/>
  <c r="Q126" i="3"/>
  <c r="Q122" i="3"/>
  <c r="Q118" i="3"/>
  <c r="P113" i="3"/>
  <c r="P109" i="3"/>
  <c r="P105" i="3"/>
  <c r="P101" i="3"/>
  <c r="P97" i="3"/>
  <c r="Q90" i="3"/>
  <c r="Q86" i="3"/>
  <c r="Q82" i="3"/>
  <c r="Q78" i="3"/>
  <c r="P73" i="3"/>
  <c r="R71" i="3"/>
  <c r="R43" i="3"/>
  <c r="Q42" i="3"/>
  <c r="P41" i="3"/>
  <c r="R39" i="3"/>
  <c r="Q38" i="3"/>
  <c r="P37" i="3"/>
  <c r="R35" i="3"/>
  <c r="Q34" i="3"/>
  <c r="P33" i="3"/>
  <c r="R31" i="3"/>
  <c r="Q30" i="3"/>
  <c r="P29" i="3"/>
  <c r="R27" i="3"/>
  <c r="Q26" i="3"/>
  <c r="P25" i="3"/>
  <c r="R23" i="3"/>
  <c r="Q22" i="3"/>
  <c r="P21" i="3"/>
  <c r="R19" i="3"/>
  <c r="Q18" i="3"/>
  <c r="P17" i="3"/>
  <c r="R15" i="3"/>
  <c r="Q14" i="3"/>
  <c r="P13" i="3"/>
  <c r="R11" i="3"/>
  <c r="Q10" i="3"/>
  <c r="P9" i="3"/>
  <c r="R7" i="3"/>
  <c r="P133" i="3"/>
  <c r="P129" i="3"/>
  <c r="P125" i="3"/>
  <c r="P121" i="3"/>
  <c r="P117" i="3"/>
  <c r="Q114" i="3"/>
  <c r="Q110" i="3"/>
  <c r="Q106" i="3"/>
  <c r="Q102" i="3"/>
  <c r="Q98" i="3"/>
  <c r="Q94" i="3"/>
  <c r="R91" i="3"/>
  <c r="R87" i="3"/>
  <c r="R83" i="3"/>
  <c r="R79" i="3"/>
  <c r="Q74" i="3"/>
  <c r="P70" i="3"/>
  <c r="R68" i="3"/>
  <c r="Q67" i="3"/>
  <c r="P66" i="3"/>
  <c r="R64" i="3"/>
  <c r="Q63" i="3"/>
  <c r="P62" i="3"/>
  <c r="R60" i="3"/>
  <c r="Q59" i="3"/>
  <c r="P58" i="3"/>
  <c r="R56" i="3"/>
  <c r="Q55" i="3"/>
  <c r="P54" i="3"/>
  <c r="R52" i="3"/>
  <c r="Q51" i="3"/>
  <c r="P50" i="3"/>
  <c r="R48" i="3"/>
  <c r="Q47" i="3"/>
  <c r="P46" i="3"/>
  <c r="R131" i="3"/>
  <c r="R127" i="3"/>
  <c r="R123" i="3"/>
  <c r="R119" i="3"/>
  <c r="R115" i="3"/>
  <c r="R111" i="3"/>
  <c r="R107" i="3"/>
  <c r="R103" i="3"/>
  <c r="R99" i="3"/>
  <c r="R95" i="3"/>
  <c r="P93" i="3"/>
  <c r="P89" i="3"/>
  <c r="P85" i="3"/>
  <c r="P81" i="3"/>
  <c r="R75" i="3"/>
  <c r="R70" i="3"/>
  <c r="Q69" i="3"/>
  <c r="P68" i="3"/>
  <c r="R66" i="3"/>
  <c r="Q65" i="3"/>
  <c r="P64" i="3"/>
  <c r="R62" i="3"/>
  <c r="Q61" i="3"/>
  <c r="P60" i="3"/>
  <c r="R58" i="3"/>
  <c r="Q57" i="3"/>
  <c r="P56" i="3"/>
  <c r="R54" i="3"/>
  <c r="Q53" i="3"/>
  <c r="P52" i="3"/>
  <c r="R50" i="3"/>
  <c r="Q49" i="3"/>
  <c r="P48" i="3"/>
  <c r="R46" i="3"/>
  <c r="R133" i="3"/>
  <c r="Q132" i="3"/>
  <c r="P131" i="3"/>
  <c r="R129" i="3"/>
  <c r="Q128" i="3"/>
  <c r="P127" i="3"/>
  <c r="R125" i="3"/>
  <c r="Q124" i="3"/>
  <c r="P123" i="3"/>
  <c r="R121" i="3"/>
  <c r="Q120" i="3"/>
  <c r="P119" i="3"/>
  <c r="R117" i="3"/>
  <c r="Q116" i="3"/>
  <c r="P115" i="3"/>
  <c r="R113" i="3"/>
  <c r="Q112" i="3"/>
  <c r="P111" i="3"/>
  <c r="R109" i="3"/>
  <c r="Q108" i="3"/>
  <c r="P107" i="3"/>
  <c r="R105" i="3"/>
  <c r="Q104" i="3"/>
  <c r="P103" i="3"/>
  <c r="R101" i="3"/>
  <c r="Q100" i="3"/>
  <c r="P99" i="3"/>
  <c r="R97" i="3"/>
  <c r="Q96" i="3"/>
  <c r="P95" i="3"/>
  <c r="R93" i="3"/>
  <c r="Q92" i="3"/>
  <c r="P91" i="3"/>
  <c r="R89" i="3"/>
  <c r="Q88" i="3"/>
  <c r="P87" i="3"/>
  <c r="R85" i="3"/>
  <c r="Q84" i="3"/>
  <c r="P83" i="3"/>
  <c r="R81" i="3"/>
  <c r="Q80" i="3"/>
  <c r="P79" i="3"/>
  <c r="R77" i="3"/>
  <c r="Q76" i="3"/>
  <c r="P75" i="3"/>
  <c r="R73" i="3"/>
  <c r="Q72" i="3"/>
  <c r="Q44" i="3"/>
  <c r="P43" i="3"/>
  <c r="R41" i="3"/>
  <c r="Q40" i="3"/>
  <c r="P39" i="3"/>
  <c r="R37" i="3"/>
  <c r="Q36" i="3"/>
  <c r="P35" i="3"/>
  <c r="R33" i="3"/>
  <c r="Q32" i="3"/>
  <c r="P31" i="3"/>
  <c r="R29" i="3"/>
  <c r="Q28" i="3"/>
  <c r="P27" i="3"/>
  <c r="R25" i="3"/>
  <c r="Q24" i="3"/>
  <c r="P23" i="3"/>
  <c r="R21" i="3"/>
  <c r="Q20" i="3"/>
  <c r="P19" i="3"/>
  <c r="R17" i="3"/>
  <c r="Q16" i="3"/>
  <c r="P15" i="3"/>
  <c r="R13" i="3"/>
  <c r="Q12" i="3"/>
  <c r="P11" i="3"/>
  <c r="R9" i="3"/>
  <c r="Q8" i="3"/>
  <c r="P7" i="3"/>
  <c r="R132" i="3"/>
  <c r="Q131" i="3"/>
  <c r="P130" i="3"/>
  <c r="R128" i="3"/>
  <c r="Q127" i="3"/>
  <c r="P126" i="3"/>
  <c r="R124" i="3"/>
  <c r="Q123" i="3"/>
  <c r="P122" i="3"/>
  <c r="R120" i="3"/>
  <c r="Q119" i="3"/>
  <c r="P118" i="3"/>
  <c r="R116" i="3"/>
  <c r="Q115" i="3"/>
  <c r="P114" i="3"/>
  <c r="R112" i="3"/>
  <c r="Q111" i="3"/>
  <c r="P110" i="3"/>
  <c r="R108" i="3"/>
  <c r="Q107" i="3"/>
  <c r="P106" i="3"/>
  <c r="R104" i="3"/>
  <c r="Q103" i="3"/>
  <c r="P102" i="3"/>
  <c r="R100" i="3"/>
  <c r="Q99" i="3"/>
  <c r="P98" i="3"/>
  <c r="R96" i="3"/>
  <c r="Q95" i="3"/>
  <c r="P94" i="3"/>
  <c r="R92" i="3"/>
  <c r="Q91" i="3"/>
  <c r="P90" i="3"/>
  <c r="R88" i="3"/>
  <c r="Q87" i="3"/>
  <c r="P86" i="3"/>
  <c r="R84" i="3"/>
  <c r="Q83" i="3"/>
  <c r="P82" i="3"/>
  <c r="R80" i="3"/>
  <c r="Q79" i="3"/>
  <c r="P78" i="3"/>
  <c r="R76" i="3"/>
  <c r="Q75" i="3"/>
  <c r="P74" i="3"/>
  <c r="R72" i="3"/>
  <c r="R44" i="3"/>
  <c r="Q43" i="3"/>
  <c r="P42" i="3"/>
  <c r="R40" i="3"/>
  <c r="Q39" i="3"/>
  <c r="P38" i="3"/>
  <c r="R36" i="3"/>
  <c r="Q35" i="3"/>
  <c r="P34" i="3"/>
  <c r="R32" i="3"/>
  <c r="Q31" i="3"/>
  <c r="P30" i="3"/>
  <c r="R28" i="3"/>
  <c r="Q27" i="3"/>
  <c r="P26" i="3"/>
  <c r="R24" i="3"/>
  <c r="Q23" i="3"/>
  <c r="P22" i="3"/>
  <c r="R20" i="3"/>
  <c r="Q19" i="3"/>
  <c r="P18" i="3"/>
  <c r="R16" i="3"/>
  <c r="Q15" i="3"/>
  <c r="P14" i="3"/>
  <c r="R12" i="3"/>
  <c r="Q11" i="3"/>
  <c r="P10" i="3"/>
  <c r="R8" i="3"/>
  <c r="Q7" i="3"/>
  <c r="P71" i="3"/>
  <c r="R69" i="3"/>
  <c r="Q68" i="3"/>
  <c r="P67" i="3"/>
  <c r="R65" i="3"/>
  <c r="Q64" i="3"/>
  <c r="P63" i="3"/>
  <c r="R61" i="3"/>
  <c r="Q60" i="3"/>
  <c r="P59" i="3"/>
  <c r="R57" i="3"/>
  <c r="Q56" i="3"/>
  <c r="P55" i="3"/>
  <c r="R53" i="3"/>
  <c r="Q52" i="3"/>
  <c r="P51" i="3"/>
  <c r="R49" i="3"/>
  <c r="Q48" i="3"/>
  <c r="P47" i="3"/>
  <c r="Q77" i="3"/>
  <c r="P77" i="3"/>
  <c r="L48" i="2"/>
  <c r="L49" i="2"/>
  <c r="J49" i="2"/>
  <c r="B14" i="2"/>
  <c r="K48" i="2"/>
  <c r="K49" i="2"/>
  <c r="K15" i="2"/>
  <c r="J15" i="2"/>
  <c r="J48" i="2"/>
  <c r="I47" i="2"/>
  <c r="J39" i="2"/>
  <c r="J47" i="2"/>
  <c r="K39" i="2"/>
  <c r="K47" i="2"/>
  <c r="L39" i="2"/>
  <c r="L47" i="2"/>
  <c r="M141" i="7"/>
  <c r="M146" i="7" s="1"/>
  <c r="L141" i="7"/>
  <c r="L146" i="7" s="1"/>
  <c r="P139" i="7"/>
  <c r="G140" i="7"/>
  <c r="L142" i="7"/>
  <c r="L147" i="7" s="1"/>
  <c r="G139" i="7"/>
  <c r="P142" i="7"/>
  <c r="L140" i="7"/>
  <c r="L145" i="7" s="1"/>
  <c r="P141" i="7"/>
  <c r="G142" i="7"/>
  <c r="L139" i="7"/>
  <c r="L144" i="7" s="1"/>
  <c r="P140" i="7"/>
  <c r="G141" i="7"/>
  <c r="L15" i="2"/>
  <c r="C22" i="2"/>
  <c r="H36" i="2"/>
  <c r="I39" i="2"/>
  <c r="I15" i="2"/>
  <c r="I26" i="2"/>
  <c r="D23" i="2"/>
  <c r="D17" i="2"/>
  <c r="D22" i="2"/>
  <c r="D21" i="2"/>
  <c r="D20" i="2"/>
  <c r="Q137" i="3" l="1"/>
  <c r="V77" i="3"/>
  <c r="U77" i="3"/>
  <c r="U71" i="3"/>
  <c r="V71" i="3"/>
  <c r="V22" i="3"/>
  <c r="U22" i="3"/>
  <c r="U38" i="3"/>
  <c r="V38" i="3"/>
  <c r="U86" i="3"/>
  <c r="V86" i="3"/>
  <c r="U102" i="3"/>
  <c r="V102" i="3"/>
  <c r="V118" i="3"/>
  <c r="U118" i="3"/>
  <c r="U7" i="3"/>
  <c r="V7" i="3"/>
  <c r="U23" i="3"/>
  <c r="V23" i="3"/>
  <c r="V39" i="3"/>
  <c r="U39" i="3"/>
  <c r="V87" i="3"/>
  <c r="U87" i="3"/>
  <c r="U119" i="3"/>
  <c r="V119" i="3"/>
  <c r="V52" i="3"/>
  <c r="U52" i="3"/>
  <c r="V68" i="3"/>
  <c r="U68" i="3"/>
  <c r="V81" i="3"/>
  <c r="U81" i="3"/>
  <c r="V54" i="3"/>
  <c r="U54" i="3"/>
  <c r="V70" i="3"/>
  <c r="U70" i="3"/>
  <c r="U117" i="3"/>
  <c r="V117" i="3"/>
  <c r="V133" i="3"/>
  <c r="U133" i="3"/>
  <c r="U17" i="3"/>
  <c r="V17" i="3"/>
  <c r="V101" i="3"/>
  <c r="U101" i="3"/>
  <c r="U61" i="3"/>
  <c r="V61" i="3"/>
  <c r="U132" i="3"/>
  <c r="V132" i="3"/>
  <c r="V12" i="3"/>
  <c r="U12" i="3"/>
  <c r="V28" i="3"/>
  <c r="U28" i="3"/>
  <c r="U44" i="3"/>
  <c r="V44" i="3"/>
  <c r="U76" i="3"/>
  <c r="V76" i="3"/>
  <c r="U88" i="3"/>
  <c r="V88" i="3"/>
  <c r="V104" i="3"/>
  <c r="U104" i="3"/>
  <c r="U124" i="3"/>
  <c r="V124" i="3"/>
  <c r="U51" i="3"/>
  <c r="V51" i="3"/>
  <c r="U67" i="3"/>
  <c r="V67" i="3"/>
  <c r="V18" i="3"/>
  <c r="U18" i="3"/>
  <c r="U34" i="3"/>
  <c r="V34" i="3"/>
  <c r="U82" i="3"/>
  <c r="V82" i="3"/>
  <c r="U98" i="3"/>
  <c r="V98" i="3"/>
  <c r="V114" i="3"/>
  <c r="U114" i="3"/>
  <c r="U130" i="3"/>
  <c r="V130" i="3"/>
  <c r="U19" i="3"/>
  <c r="V19" i="3"/>
  <c r="V35" i="3"/>
  <c r="U35" i="3"/>
  <c r="V83" i="3"/>
  <c r="U83" i="3"/>
  <c r="V99" i="3"/>
  <c r="U99" i="3"/>
  <c r="V131" i="3"/>
  <c r="U131" i="3"/>
  <c r="V48" i="3"/>
  <c r="U48" i="3"/>
  <c r="V64" i="3"/>
  <c r="U64" i="3"/>
  <c r="V85" i="3"/>
  <c r="U85" i="3"/>
  <c r="V50" i="3"/>
  <c r="U50" i="3"/>
  <c r="V66" i="3"/>
  <c r="U66" i="3"/>
  <c r="U13" i="3"/>
  <c r="V13" i="3"/>
  <c r="U29" i="3"/>
  <c r="V29" i="3"/>
  <c r="U105" i="3"/>
  <c r="V105" i="3"/>
  <c r="V8" i="3"/>
  <c r="U8" i="3"/>
  <c r="V24" i="3"/>
  <c r="U24" i="3"/>
  <c r="U40" i="3"/>
  <c r="V40" i="3"/>
  <c r="V72" i="3"/>
  <c r="U72" i="3"/>
  <c r="U84" i="3"/>
  <c r="V84" i="3"/>
  <c r="U100" i="3"/>
  <c r="V100" i="3"/>
  <c r="U55" i="3"/>
  <c r="V55" i="3"/>
  <c r="U63" i="3"/>
  <c r="V63" i="3"/>
  <c r="V30" i="3"/>
  <c r="U30" i="3"/>
  <c r="U78" i="3"/>
  <c r="V78" i="3"/>
  <c r="U94" i="3"/>
  <c r="V94" i="3"/>
  <c r="V110" i="3"/>
  <c r="U110" i="3"/>
  <c r="U126" i="3"/>
  <c r="V126" i="3"/>
  <c r="U15" i="3"/>
  <c r="V15" i="3"/>
  <c r="U31" i="3"/>
  <c r="V31" i="3"/>
  <c r="V79" i="3"/>
  <c r="U79" i="3"/>
  <c r="V95" i="3"/>
  <c r="U95" i="3"/>
  <c r="U111" i="3"/>
  <c r="V111" i="3"/>
  <c r="V127" i="3"/>
  <c r="U127" i="3"/>
  <c r="V60" i="3"/>
  <c r="U60" i="3"/>
  <c r="V89" i="3"/>
  <c r="U89" i="3"/>
  <c r="V62" i="3"/>
  <c r="U62" i="3"/>
  <c r="V125" i="3"/>
  <c r="U125" i="3"/>
  <c r="U9" i="3"/>
  <c r="V9" i="3"/>
  <c r="U25" i="3"/>
  <c r="V25" i="3"/>
  <c r="V41" i="3"/>
  <c r="U41" i="3"/>
  <c r="U109" i="3"/>
  <c r="V109" i="3"/>
  <c r="U53" i="3"/>
  <c r="V53" i="3"/>
  <c r="U69" i="3"/>
  <c r="V69" i="3"/>
  <c r="V20" i="3"/>
  <c r="U20" i="3"/>
  <c r="U36" i="3"/>
  <c r="V36" i="3"/>
  <c r="U80" i="3"/>
  <c r="V80" i="3"/>
  <c r="U96" i="3"/>
  <c r="V96" i="3"/>
  <c r="V112" i="3"/>
  <c r="U112" i="3"/>
  <c r="U47" i="3"/>
  <c r="V47" i="3"/>
  <c r="V14" i="3"/>
  <c r="U14" i="3"/>
  <c r="U59" i="3"/>
  <c r="V59" i="3"/>
  <c r="V10" i="3"/>
  <c r="U10" i="3"/>
  <c r="V26" i="3"/>
  <c r="U26" i="3"/>
  <c r="U42" i="3"/>
  <c r="V42" i="3"/>
  <c r="U74" i="3"/>
  <c r="V74" i="3"/>
  <c r="U90" i="3"/>
  <c r="V90" i="3"/>
  <c r="V106" i="3"/>
  <c r="U106" i="3"/>
  <c r="U122" i="3"/>
  <c r="V122" i="3"/>
  <c r="U11" i="3"/>
  <c r="V11" i="3"/>
  <c r="U27" i="3"/>
  <c r="V27" i="3"/>
  <c r="V43" i="3"/>
  <c r="U43" i="3"/>
  <c r="V75" i="3"/>
  <c r="U75" i="3"/>
  <c r="V91" i="3"/>
  <c r="U91" i="3"/>
  <c r="U107" i="3"/>
  <c r="V107" i="3"/>
  <c r="V123" i="3"/>
  <c r="U123" i="3"/>
  <c r="V93" i="3"/>
  <c r="U93" i="3"/>
  <c r="V58" i="3"/>
  <c r="U58" i="3"/>
  <c r="V129" i="3"/>
  <c r="U129" i="3"/>
  <c r="U21" i="3"/>
  <c r="V21" i="3"/>
  <c r="V37" i="3"/>
  <c r="U37" i="3"/>
  <c r="V97" i="3"/>
  <c r="U97" i="3"/>
  <c r="U113" i="3"/>
  <c r="V113" i="3"/>
  <c r="U49" i="3"/>
  <c r="V49" i="3"/>
  <c r="U65" i="3"/>
  <c r="V65" i="3"/>
  <c r="U128" i="3"/>
  <c r="V128" i="3"/>
  <c r="V16" i="3"/>
  <c r="U16" i="3"/>
  <c r="V32" i="3"/>
  <c r="U32" i="3"/>
  <c r="U92" i="3"/>
  <c r="V92" i="3"/>
  <c r="V108" i="3"/>
  <c r="U108" i="3"/>
  <c r="V120" i="3"/>
  <c r="U120" i="3"/>
  <c r="U73" i="3"/>
  <c r="V73" i="3"/>
  <c r="V57" i="3"/>
  <c r="U57" i="3"/>
  <c r="V56" i="3"/>
  <c r="U56" i="3"/>
  <c r="U46" i="3"/>
  <c r="V46" i="3"/>
  <c r="U33" i="3"/>
  <c r="V33" i="3"/>
  <c r="V115" i="3"/>
  <c r="U115" i="3"/>
  <c r="V116" i="3"/>
  <c r="U116" i="3"/>
  <c r="U103" i="3"/>
  <c r="V103" i="3"/>
  <c r="U121" i="3"/>
  <c r="V121" i="3"/>
  <c r="P137" i="3"/>
  <c r="R137" i="3"/>
  <c r="R139" i="3"/>
  <c r="Q139" i="3"/>
  <c r="R138" i="3"/>
  <c r="Q138" i="3"/>
  <c r="P138" i="3"/>
  <c r="P139" i="3"/>
  <c r="H15" i="2"/>
  <c r="B11" i="2"/>
  <c r="B8" i="2"/>
  <c r="D8" i="2"/>
  <c r="C10" i="2"/>
  <c r="H39" i="2"/>
  <c r="I28" i="2"/>
  <c r="I29" i="2" s="1"/>
  <c r="C21" i="2"/>
  <c r="B22" i="2"/>
  <c r="B20" i="2"/>
  <c r="C20" i="2"/>
  <c r="B21" i="2"/>
  <c r="B23" i="2"/>
  <c r="C23" i="2"/>
  <c r="I30" i="2"/>
  <c r="I31" i="2" s="1"/>
  <c r="I33" i="2"/>
  <c r="I50" i="2" s="1"/>
  <c r="I17" i="2"/>
  <c r="I18" i="2" s="1"/>
  <c r="I19" i="2"/>
  <c r="I20" i="2" s="1"/>
  <c r="D28" i="2"/>
  <c r="R6" i="3"/>
  <c r="R140" i="3" s="1"/>
  <c r="U138" i="3" l="1"/>
  <c r="V138" i="3"/>
  <c r="V137" i="3"/>
  <c r="U137" i="3"/>
  <c r="U139" i="3"/>
  <c r="V139" i="3"/>
  <c r="D7" i="2"/>
  <c r="I54" i="2"/>
  <c r="I55" i="2" s="1"/>
  <c r="I52" i="2"/>
  <c r="I53" i="2" s="1"/>
  <c r="N135" i="3"/>
  <c r="M135" i="3"/>
  <c r="L135" i="3"/>
  <c r="K135" i="3"/>
  <c r="J135" i="3"/>
  <c r="I135" i="3"/>
  <c r="H135" i="3"/>
  <c r="G135" i="3"/>
  <c r="F135" i="3"/>
  <c r="C26" i="2" l="1"/>
  <c r="Q6" i="3" l="1"/>
  <c r="Q140" i="3" s="1"/>
  <c r="P6" i="3"/>
  <c r="D26" i="2"/>
  <c r="C27" i="2"/>
  <c r="D27" i="2"/>
  <c r="C28" i="2"/>
  <c r="C29" i="2"/>
  <c r="D29" i="2"/>
  <c r="B27" i="2"/>
  <c r="B28" i="2"/>
  <c r="B29" i="2"/>
  <c r="B26" i="2"/>
  <c r="P140" i="3" l="1"/>
  <c r="V6" i="3"/>
  <c r="U6" i="3"/>
  <c r="S132" i="3"/>
  <c r="W131" i="8" s="1"/>
  <c r="S130" i="3"/>
  <c r="W129" i="8" s="1"/>
  <c r="S123" i="3"/>
  <c r="W122" i="8" s="1"/>
  <c r="S116" i="3"/>
  <c r="W115" i="8" s="1"/>
  <c r="S114" i="3"/>
  <c r="W113" i="8" s="1"/>
  <c r="S107" i="3"/>
  <c r="W106" i="8" s="1"/>
  <c r="S105" i="3"/>
  <c r="W104" i="8" s="1"/>
  <c r="S103" i="3"/>
  <c r="W102" i="8" s="1"/>
  <c r="S96" i="3"/>
  <c r="W95" i="8" s="1"/>
  <c r="S94" i="3"/>
  <c r="W93" i="8" s="1"/>
  <c r="S87" i="3"/>
  <c r="W86" i="8" s="1"/>
  <c r="S80" i="3"/>
  <c r="W79" i="8" s="1"/>
  <c r="S78" i="3"/>
  <c r="W77" i="8" s="1"/>
  <c r="S71" i="3"/>
  <c r="W70" i="8" s="1"/>
  <c r="S64" i="3"/>
  <c r="W63" i="8" s="1"/>
  <c r="S62" i="3"/>
  <c r="W61" i="8" s="1"/>
  <c r="S55" i="3"/>
  <c r="W54" i="8" s="1"/>
  <c r="S48" i="3"/>
  <c r="W47" i="8" s="1"/>
  <c r="S46" i="3"/>
  <c r="W45" i="8" s="1"/>
  <c r="S39" i="3"/>
  <c r="W38" i="8" s="1"/>
  <c r="S32" i="3"/>
  <c r="W31" i="8" s="1"/>
  <c r="S30" i="3"/>
  <c r="W29" i="8" s="1"/>
  <c r="S16" i="3"/>
  <c r="W15" i="8" s="1"/>
  <c r="S14" i="3"/>
  <c r="W13" i="8" s="1"/>
  <c r="S7" i="3"/>
  <c r="W6" i="8" s="1"/>
  <c r="S131" i="3"/>
  <c r="W130" i="8" s="1"/>
  <c r="S124" i="3"/>
  <c r="W123" i="8" s="1"/>
  <c r="S122" i="3"/>
  <c r="W121" i="8" s="1"/>
  <c r="S115" i="3"/>
  <c r="W114" i="8" s="1"/>
  <c r="S108" i="3"/>
  <c r="W107" i="8" s="1"/>
  <c r="S106" i="3"/>
  <c r="W105" i="8" s="1"/>
  <c r="S104" i="3"/>
  <c r="W103" i="8" s="1"/>
  <c r="S102" i="3"/>
  <c r="W101" i="8" s="1"/>
  <c r="S95" i="3"/>
  <c r="W94" i="8" s="1"/>
  <c r="S88" i="3"/>
  <c r="W87" i="8" s="1"/>
  <c r="S86" i="3"/>
  <c r="W85" i="8" s="1"/>
  <c r="S59" i="3"/>
  <c r="W58" i="8" s="1"/>
  <c r="S11" i="3"/>
  <c r="W10" i="8" s="1"/>
  <c r="S65" i="3"/>
  <c r="W64" i="8" s="1"/>
  <c r="S49" i="3"/>
  <c r="W48" i="8" s="1"/>
  <c r="S133" i="3"/>
  <c r="W132" i="8" s="1"/>
  <c r="S117" i="3"/>
  <c r="W116" i="8" s="1"/>
  <c r="S97" i="3"/>
  <c r="W96" i="8" s="1"/>
  <c r="S81" i="3"/>
  <c r="W80" i="8" s="1"/>
  <c r="S127" i="3"/>
  <c r="W126" i="8" s="1"/>
  <c r="S120" i="3"/>
  <c r="W119" i="8" s="1"/>
  <c r="S118" i="3"/>
  <c r="W117" i="8" s="1"/>
  <c r="S111" i="3"/>
  <c r="W110" i="8" s="1"/>
  <c r="S100" i="3"/>
  <c r="W99" i="8" s="1"/>
  <c r="S98" i="3"/>
  <c r="W97" i="8" s="1"/>
  <c r="S91" i="3"/>
  <c r="W90" i="8" s="1"/>
  <c r="S84" i="3"/>
  <c r="W83" i="8" s="1"/>
  <c r="S82" i="3"/>
  <c r="W81" i="8" s="1"/>
  <c r="S75" i="3"/>
  <c r="W74" i="8" s="1"/>
  <c r="S68" i="3"/>
  <c r="W67" i="8" s="1"/>
  <c r="S66" i="3"/>
  <c r="W65" i="8" s="1"/>
  <c r="S52" i="3"/>
  <c r="W51" i="8" s="1"/>
  <c r="S50" i="3"/>
  <c r="W49" i="8" s="1"/>
  <c r="S43" i="3"/>
  <c r="W42" i="8" s="1"/>
  <c r="S36" i="3"/>
  <c r="W35" i="8" s="1"/>
  <c r="S34" i="3"/>
  <c r="W33" i="8" s="1"/>
  <c r="S27" i="3"/>
  <c r="W26" i="8" s="1"/>
  <c r="S20" i="3"/>
  <c r="W19" i="8" s="1"/>
  <c r="S18" i="3"/>
  <c r="W17" i="8" s="1"/>
  <c r="S29" i="3"/>
  <c r="W28" i="8" s="1"/>
  <c r="S13" i="3"/>
  <c r="W12" i="8" s="1"/>
  <c r="S79" i="3"/>
  <c r="W78" i="8" s="1"/>
  <c r="S72" i="3"/>
  <c r="W71" i="8" s="1"/>
  <c r="S70" i="3"/>
  <c r="W69" i="8" s="1"/>
  <c r="S63" i="3"/>
  <c r="W62" i="8" s="1"/>
  <c r="S56" i="3"/>
  <c r="W55" i="8" s="1"/>
  <c r="S54" i="3"/>
  <c r="W53" i="8" s="1"/>
  <c r="S47" i="3"/>
  <c r="W46" i="8" s="1"/>
  <c r="S40" i="3"/>
  <c r="W39" i="8" s="1"/>
  <c r="S38" i="3"/>
  <c r="W37" i="8" s="1"/>
  <c r="S28" i="3"/>
  <c r="W27" i="8" s="1"/>
  <c r="S26" i="3"/>
  <c r="W25" i="8" s="1"/>
  <c r="S19" i="3"/>
  <c r="W18" i="8" s="1"/>
  <c r="S12" i="3"/>
  <c r="W11" i="8" s="1"/>
  <c r="S10" i="3"/>
  <c r="W9" i="8" s="1"/>
  <c r="S21" i="3"/>
  <c r="W20" i="8" s="1"/>
  <c r="C25" i="2"/>
  <c r="S8" i="3"/>
  <c r="W7" i="8" s="1"/>
  <c r="S9" i="3"/>
  <c r="W8" i="8" s="1"/>
  <c r="S17" i="3"/>
  <c r="W16" i="8" s="1"/>
  <c r="S22" i="3"/>
  <c r="W21" i="8" s="1"/>
  <c r="S15" i="3"/>
  <c r="W14" i="8" s="1"/>
  <c r="S31" i="3"/>
  <c r="W30" i="8" s="1"/>
  <c r="S24" i="3"/>
  <c r="W23" i="8" s="1"/>
  <c r="S25" i="3"/>
  <c r="W24" i="8" s="1"/>
  <c r="S23" i="3"/>
  <c r="W22" i="8" s="1"/>
  <c r="S33" i="3"/>
  <c r="W32" i="8" s="1"/>
  <c r="S35" i="3"/>
  <c r="W34" i="8" s="1"/>
  <c r="S121" i="3"/>
  <c r="W120" i="8" s="1"/>
  <c r="S85" i="3"/>
  <c r="W84" i="8" s="1"/>
  <c r="S53" i="3"/>
  <c r="W52" i="8" s="1"/>
  <c r="S128" i="3"/>
  <c r="W127" i="8" s="1"/>
  <c r="S126" i="3"/>
  <c r="W125" i="8" s="1"/>
  <c r="S119" i="3"/>
  <c r="W118" i="8" s="1"/>
  <c r="S112" i="3"/>
  <c r="W111" i="8" s="1"/>
  <c r="S110" i="3"/>
  <c r="W109" i="8" s="1"/>
  <c r="S99" i="3"/>
  <c r="W98" i="8" s="1"/>
  <c r="S92" i="3"/>
  <c r="W91" i="8" s="1"/>
  <c r="S90" i="3"/>
  <c r="W89" i="8" s="1"/>
  <c r="S83" i="3"/>
  <c r="W82" i="8" s="1"/>
  <c r="S76" i="3"/>
  <c r="W75" i="8" s="1"/>
  <c r="S74" i="3"/>
  <c r="W73" i="8" s="1"/>
  <c r="S67" i="3"/>
  <c r="W66" i="8" s="1"/>
  <c r="S60" i="3"/>
  <c r="W59" i="8" s="1"/>
  <c r="S58" i="3"/>
  <c r="W57" i="8" s="1"/>
  <c r="S51" i="3"/>
  <c r="W50" i="8" s="1"/>
  <c r="S44" i="3"/>
  <c r="W43" i="8" s="1"/>
  <c r="S42" i="3"/>
  <c r="W41" i="8" s="1"/>
  <c r="S125" i="3"/>
  <c r="W124" i="8" s="1"/>
  <c r="S109" i="3"/>
  <c r="W108" i="8" s="1"/>
  <c r="S89" i="3"/>
  <c r="W88" i="8" s="1"/>
  <c r="S73" i="3"/>
  <c r="W72" i="8" s="1"/>
  <c r="S57" i="3"/>
  <c r="W56" i="8" s="1"/>
  <c r="S41" i="3"/>
  <c r="W40" i="8" s="1"/>
  <c r="S101" i="3"/>
  <c r="W100" i="8" s="1"/>
  <c r="S69" i="3"/>
  <c r="W68" i="8" s="1"/>
  <c r="S37" i="3"/>
  <c r="W36" i="8" s="1"/>
  <c r="S129" i="3"/>
  <c r="W128" i="8" s="1"/>
  <c r="S113" i="3"/>
  <c r="W112" i="8" s="1"/>
  <c r="S93" i="3"/>
  <c r="W92" i="8" s="1"/>
  <c r="S77" i="3"/>
  <c r="W76" i="8" s="1"/>
  <c r="S61" i="3"/>
  <c r="W60" i="8" s="1"/>
  <c r="S45" i="3"/>
  <c r="W44" i="8" s="1"/>
  <c r="D25" i="2"/>
  <c r="B19" i="2"/>
  <c r="O8" i="2" s="1"/>
  <c r="U140" i="3" l="1"/>
  <c r="V140" i="3"/>
  <c r="Y140" i="8"/>
  <c r="Y136" i="8"/>
  <c r="Y137" i="8"/>
  <c r="Y138" i="8"/>
  <c r="S139" i="3"/>
  <c r="S138" i="3"/>
  <c r="S137" i="3"/>
  <c r="S140" i="3"/>
  <c r="S6" i="3"/>
  <c r="W5" i="8" s="1"/>
  <c r="Y139" i="8" s="1"/>
  <c r="F21" i="9" l="1"/>
  <c r="G21" i="9"/>
  <c r="E21" i="9"/>
  <c r="H21" i="9" l="1"/>
  <c r="R135" i="3"/>
  <c r="Q135" i="3"/>
  <c r="F134" i="7" l="1"/>
  <c r="F136" i="7" s="1"/>
  <c r="O134" i="7"/>
  <c r="K134" i="7"/>
  <c r="L136" i="7" s="1"/>
  <c r="L134" i="8" s="1"/>
  <c r="X136" i="7" l="1"/>
  <c r="K146" i="7"/>
  <c r="K144" i="7"/>
  <c r="K147" i="7"/>
  <c r="K145" i="7"/>
  <c r="AF138" i="7"/>
  <c r="O147" i="7"/>
  <c r="Z138" i="7"/>
  <c r="Y136" i="7"/>
  <c r="O146" i="7"/>
  <c r="R144" i="7"/>
  <c r="O145" i="7"/>
  <c r="AC136" i="7"/>
  <c r="W136" i="7"/>
  <c r="F145" i="7"/>
  <c r="F144" i="7"/>
  <c r="F146" i="7"/>
  <c r="F147" i="7"/>
  <c r="G136" i="7"/>
  <c r="H134" i="8" s="1"/>
  <c r="P136" i="7"/>
  <c r="P134" i="8" s="1"/>
  <c r="Q136" i="7"/>
  <c r="AD136" i="7"/>
  <c r="L148" i="7"/>
  <c r="M136" i="7"/>
  <c r="M148" i="7" s="1"/>
  <c r="AE136" i="7"/>
  <c r="H136" i="7"/>
  <c r="L26" i="2"/>
  <c r="K26" i="2"/>
  <c r="J26" i="2"/>
  <c r="H25" i="2"/>
  <c r="H24" i="2"/>
  <c r="H23" i="2"/>
  <c r="H14" i="2"/>
  <c r="H13" i="2"/>
  <c r="H12" i="2"/>
  <c r="H8" i="2"/>
  <c r="H19" i="2" s="1"/>
  <c r="H7" i="2"/>
  <c r="H17" i="2" s="1"/>
  <c r="B25" i="2"/>
  <c r="D19" i="2"/>
  <c r="C19" i="2"/>
  <c r="D13" i="2"/>
  <c r="C13" i="2"/>
  <c r="B13" i="2"/>
  <c r="Q8" i="2" s="1"/>
  <c r="C7" i="2"/>
  <c r="B7" i="2"/>
  <c r="P8" i="2" s="1"/>
  <c r="E29" i="2"/>
  <c r="E28" i="2"/>
  <c r="E27" i="2"/>
  <c r="E26" i="2"/>
  <c r="E23" i="2"/>
  <c r="E22" i="2"/>
  <c r="E21" i="2"/>
  <c r="E20" i="2"/>
  <c r="E17" i="2"/>
  <c r="E16" i="2"/>
  <c r="E15" i="2"/>
  <c r="E14" i="2"/>
  <c r="E9" i="2"/>
  <c r="E10" i="2"/>
  <c r="E11" i="2"/>
  <c r="E8" i="2"/>
  <c r="E25" i="2" l="1"/>
  <c r="R8" i="2"/>
  <c r="H43" i="2"/>
  <c r="H44" i="2" s="1"/>
  <c r="H48" i="2"/>
  <c r="H49" i="2"/>
  <c r="H47" i="2"/>
  <c r="L41" i="2"/>
  <c r="L42" i="2" s="1"/>
  <c r="L43" i="2"/>
  <c r="L44" i="2" s="1"/>
  <c r="K43" i="2"/>
  <c r="K44" i="2" s="1"/>
  <c r="K41" i="2"/>
  <c r="K42" i="2" s="1"/>
  <c r="J43" i="2"/>
  <c r="J44" i="2" s="1"/>
  <c r="J41" i="2"/>
  <c r="J42" i="2" s="1"/>
  <c r="I41" i="2"/>
  <c r="I42" i="2" s="1"/>
  <c r="I43" i="2"/>
  <c r="I44" i="2" s="1"/>
  <c r="L30" i="2"/>
  <c r="L31" i="2" s="1"/>
  <c r="L28" i="2"/>
  <c r="L29" i="2" s="1"/>
  <c r="K30" i="2"/>
  <c r="K31" i="2" s="1"/>
  <c r="K28" i="2"/>
  <c r="K29" i="2" s="1"/>
  <c r="J30" i="2"/>
  <c r="J31" i="2" s="1"/>
  <c r="J28" i="2"/>
  <c r="J29" i="2" s="1"/>
  <c r="L33" i="2"/>
  <c r="L50" i="2" s="1"/>
  <c r="L19" i="2"/>
  <c r="L20" i="2" s="1"/>
  <c r="L17" i="2"/>
  <c r="L18" i="2" s="1"/>
  <c r="K33" i="2"/>
  <c r="K50" i="2" s="1"/>
  <c r="K17" i="2"/>
  <c r="K18" i="2" s="1"/>
  <c r="K19" i="2"/>
  <c r="K20" i="2" s="1"/>
  <c r="J33" i="2"/>
  <c r="J50" i="2" s="1"/>
  <c r="J54" i="2" s="1"/>
  <c r="J19" i="2"/>
  <c r="J20" i="2" s="1"/>
  <c r="J17" i="2"/>
  <c r="J18" i="2" s="1"/>
  <c r="E13" i="2"/>
  <c r="E7" i="2"/>
  <c r="H26" i="2"/>
  <c r="E19" i="2"/>
  <c r="H28" i="2" l="1"/>
  <c r="H29" i="2" s="1"/>
  <c r="H30" i="2"/>
  <c r="H31" i="2" s="1"/>
  <c r="J55" i="2"/>
  <c r="J52" i="2"/>
  <c r="J53" i="2" s="1"/>
  <c r="H50" i="2"/>
  <c r="H54" i="2" s="1"/>
  <c r="H55" i="2" s="1"/>
  <c r="L54" i="2"/>
  <c r="L55" i="2" s="1"/>
  <c r="L52" i="2"/>
  <c r="L53" i="2" s="1"/>
  <c r="K52" i="2"/>
  <c r="K53" i="2" s="1"/>
  <c r="K54" i="2"/>
  <c r="K55" i="2" s="1"/>
  <c r="H41" i="2"/>
  <c r="H42" i="2" s="1"/>
  <c r="H20" i="2"/>
  <c r="H18" i="2"/>
  <c r="H33" i="2"/>
  <c r="H52" i="2" l="1"/>
  <c r="H53" i="2" s="1"/>
  <c r="P135" i="3"/>
  <c r="V135" i="3" s="1"/>
  <c r="U135" i="3" l="1"/>
  <c r="S13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 White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Ron White:</t>
        </r>
        <r>
          <rPr>
            <sz val="9"/>
            <color indexed="81"/>
            <rFont val="Tahoma"/>
            <family val="2"/>
          </rPr>
          <t xml:space="preserve">
Don't overwrite these values in column A and B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White Ron</author>
  </authors>
  <commentList>
    <comment ref="R6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White Ron:</t>
        </r>
        <r>
          <rPr>
            <sz val="9"/>
            <color indexed="81"/>
            <rFont val="Tahoma"/>
            <family val="2"/>
          </rPr>
          <t xml:space="preserve">
121t food only
</t>
        </r>
      </text>
    </comment>
    <comment ref="O99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White Ron:</t>
        </r>
        <r>
          <rPr>
            <sz val="9"/>
            <color indexed="81"/>
            <rFont val="Tahoma"/>
            <family val="2"/>
          </rPr>
          <t xml:space="preserve">
56t food trial
</t>
        </r>
      </text>
    </comment>
    <comment ref="AH99" authorId="0" shapeId="0" xr:uid="{D957AEF5-C1D2-459A-85C6-06B7565788B0}">
      <text>
        <r>
          <rPr>
            <b/>
            <sz val="9"/>
            <color indexed="81"/>
            <rFont val="Tahoma"/>
            <family val="2"/>
          </rPr>
          <t>White Ron:</t>
        </r>
        <r>
          <rPr>
            <sz val="9"/>
            <color indexed="81"/>
            <rFont val="Tahoma"/>
            <family val="2"/>
          </rPr>
          <t xml:space="preserve">
56t food trial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White Ron</author>
  </authors>
  <commentList>
    <comment ref="B1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White Ron:</t>
        </r>
        <r>
          <rPr>
            <sz val="9"/>
            <color indexed="81"/>
            <rFont val="Tahoma"/>
            <family val="2"/>
          </rPr>
          <t xml:space="preserve">
Manly trial July 16-Jan 17.</t>
        </r>
      </text>
    </comment>
  </commentList>
</comments>
</file>

<file path=xl/sharedStrings.xml><?xml version="1.0" encoding="utf-8"?>
<sst xmlns="http://schemas.openxmlformats.org/spreadsheetml/2006/main" count="5520" uniqueCount="706">
  <si>
    <t>Total</t>
  </si>
  <si>
    <t>Y</t>
  </si>
  <si>
    <t>N</t>
  </si>
  <si>
    <t>E</t>
  </si>
  <si>
    <t>S</t>
  </si>
  <si>
    <t>R</t>
  </si>
  <si>
    <t>Drop Off Facility</t>
  </si>
  <si>
    <t>Clean Up Service</t>
  </si>
  <si>
    <t>Residual Waste to AWT</t>
  </si>
  <si>
    <t>Residual Waste Service</t>
  </si>
  <si>
    <t>Data
Supplied</t>
  </si>
  <si>
    <t>Region</t>
  </si>
  <si>
    <t>Council Name</t>
  </si>
  <si>
    <t>ABS</t>
  </si>
  <si>
    <t>Garden Organics Service</t>
  </si>
  <si>
    <t>Total Domestic Generation and Recycling Rates</t>
  </si>
  <si>
    <t>Household and Population Figures</t>
  </si>
  <si>
    <t>NSW</t>
  </si>
  <si>
    <t>SMA</t>
  </si>
  <si>
    <t>ERA</t>
  </si>
  <si>
    <t>RRA</t>
  </si>
  <si>
    <t>Rest of the State</t>
  </si>
  <si>
    <t>Stream</t>
  </si>
  <si>
    <t>Collected</t>
  </si>
  <si>
    <t>Recovered</t>
  </si>
  <si>
    <t>Disposed</t>
  </si>
  <si>
    <t>Recycling Rate (%)</t>
  </si>
  <si>
    <t>Councils</t>
  </si>
  <si>
    <t>Recyclables</t>
  </si>
  <si>
    <t>Population</t>
  </si>
  <si>
    <t>Household</t>
  </si>
  <si>
    <t>Total Domestic Generation and Averages</t>
  </si>
  <si>
    <t>Kerbside</t>
  </si>
  <si>
    <t>Organics</t>
  </si>
  <si>
    <t>Drop Off</t>
  </si>
  <si>
    <t>Clean Up</t>
  </si>
  <si>
    <t>Total Recyclables</t>
  </si>
  <si>
    <t>kg/capita/yr</t>
  </si>
  <si>
    <t>kg/capita/wk</t>
  </si>
  <si>
    <t>Residual Waste</t>
  </si>
  <si>
    <t>kg/hh/yr</t>
  </si>
  <si>
    <t>kg/hh/wk</t>
  </si>
  <si>
    <t>Total Generation</t>
  </si>
  <si>
    <t>Total Organics</t>
  </si>
  <si>
    <t>Total Recyclables Collected</t>
  </si>
  <si>
    <t>Total Residual Waste</t>
  </si>
  <si>
    <t>Total Domestic Generation</t>
  </si>
  <si>
    <t>Total Disposed</t>
  </si>
  <si>
    <t>Kerbside Recycling Bin</t>
  </si>
  <si>
    <t>Drop off Recycling</t>
  </si>
  <si>
    <t>Cleanup Recycling</t>
  </si>
  <si>
    <t>Kerbside Organics Bin</t>
  </si>
  <si>
    <t>Drop off Organics</t>
  </si>
  <si>
    <t>Cleanup Organics</t>
  </si>
  <si>
    <t>Kerbside Waste Bin</t>
  </si>
  <si>
    <t>Total Disposed to Landfill</t>
  </si>
  <si>
    <t>Recovered (AWT)</t>
  </si>
  <si>
    <t>Recycling Bin Disposed</t>
  </si>
  <si>
    <t>Organics Bin Disposed</t>
  </si>
  <si>
    <t>Recycling Disposed</t>
  </si>
  <si>
    <t>Organics Disposed</t>
  </si>
  <si>
    <t>Waste Disposed</t>
  </si>
  <si>
    <t>Dry Recycling</t>
  </si>
  <si>
    <r>
      <t xml:space="preserve">Per Household
</t>
    </r>
    <r>
      <rPr>
        <b/>
        <sz val="8"/>
        <rFont val="Arial"/>
        <family val="2"/>
      </rPr>
      <t>kg/hh/wk</t>
    </r>
  </si>
  <si>
    <r>
      <t xml:space="preserve">Per Capita
</t>
    </r>
    <r>
      <rPr>
        <b/>
        <sz val="8"/>
        <rFont val="Arial"/>
        <family val="2"/>
      </rPr>
      <t>kg/ca/wk</t>
    </r>
  </si>
  <si>
    <t>Predominant BIN Size</t>
  </si>
  <si>
    <t>Frequency</t>
  </si>
  <si>
    <t>Sent</t>
  </si>
  <si>
    <t>Landfilled</t>
  </si>
  <si>
    <t>Recovery %</t>
  </si>
  <si>
    <t>Facility</t>
  </si>
  <si>
    <t>Total Domestic Generation (tonnes)</t>
  </si>
  <si>
    <t>Totals</t>
  </si>
  <si>
    <t>140L</t>
  </si>
  <si>
    <t>Weekly</t>
  </si>
  <si>
    <t>120L</t>
  </si>
  <si>
    <t>240L</t>
  </si>
  <si>
    <t>80L</t>
  </si>
  <si>
    <t>55L</t>
  </si>
  <si>
    <t>Crate</t>
  </si>
  <si>
    <t>Month</t>
  </si>
  <si>
    <t>360L</t>
  </si>
  <si>
    <t>Residual Waste Collected</t>
  </si>
  <si>
    <t>Recyclables Collected</t>
  </si>
  <si>
    <t>Organics Collected</t>
  </si>
  <si>
    <t>2012-13</t>
  </si>
  <si>
    <t>2013-14</t>
  </si>
  <si>
    <t>2014-15</t>
  </si>
  <si>
    <t>Waste Collected</t>
  </si>
  <si>
    <t>Waste Recycled</t>
  </si>
  <si>
    <t>Recycled</t>
  </si>
  <si>
    <t>Recycling  Disposed</t>
  </si>
  <si>
    <t>2011-12</t>
  </si>
  <si>
    <t>Kerbside Tonnes Collected</t>
  </si>
  <si>
    <t>Yellow Lid Bin</t>
  </si>
  <si>
    <t>Green Lid Bin</t>
  </si>
  <si>
    <t>Red Lid Bin</t>
  </si>
  <si>
    <t>Households with</t>
  </si>
  <si>
    <t>Dry Recycling Service</t>
  </si>
  <si>
    <t>LGA Population with service</t>
  </si>
  <si>
    <t>NSW Average kg/wk</t>
  </si>
  <si>
    <t>kg/week</t>
  </si>
  <si>
    <t>FOGO</t>
  </si>
  <si>
    <t>FOGO Service</t>
  </si>
  <si>
    <t>Household Numbers</t>
  </si>
  <si>
    <t>Population with</t>
  </si>
  <si>
    <r>
      <t xml:space="preserve">Kerbside </t>
    </r>
    <r>
      <rPr>
        <b/>
        <sz val="8"/>
        <rFont val="Arial"/>
        <family val="2"/>
      </rPr>
      <t>FOGO</t>
    </r>
    <r>
      <rPr>
        <sz val="8"/>
        <rFont val="Arial"/>
        <family val="2"/>
      </rPr>
      <t xml:space="preserve"> Tonnes Collected</t>
    </r>
  </si>
  <si>
    <r>
      <t xml:space="preserve">Kerbside </t>
    </r>
    <r>
      <rPr>
        <b/>
        <sz val="8"/>
        <rFont val="Arial"/>
        <family val="2"/>
      </rPr>
      <t xml:space="preserve">Garden Organics </t>
    </r>
    <r>
      <rPr>
        <sz val="8"/>
        <rFont val="Arial"/>
        <family val="2"/>
      </rPr>
      <t>Tonnes Collected</t>
    </r>
  </si>
  <si>
    <t>Regional Groups</t>
  </si>
  <si>
    <t>GO+FOGO</t>
  </si>
  <si>
    <t>2015-16</t>
  </si>
  <si>
    <t>LGA Average DWMC $</t>
  </si>
  <si>
    <t>Appendix 9: Alternative Waste Treatment (AWT) 2015-16</t>
  </si>
  <si>
    <t>Population
ABS
(30 June 16)</t>
  </si>
  <si>
    <t>2x120L</t>
  </si>
  <si>
    <t xml:space="preserve"> inc.GO</t>
  </si>
  <si>
    <t>Total Number  Hh in LGA</t>
  </si>
  <si>
    <t>Other</t>
  </si>
  <si>
    <t xml:space="preserve">Drop Off Service </t>
  </si>
  <si>
    <t>Total Waste</t>
  </si>
  <si>
    <t>Total Recycling</t>
  </si>
  <si>
    <t>Rest of State</t>
  </si>
  <si>
    <t>Total Domestic Organics</t>
  </si>
  <si>
    <t>RAMROC Murray</t>
  </si>
  <si>
    <t>Albury (C)</t>
  </si>
  <si>
    <t>NIRW</t>
  </si>
  <si>
    <t>Armidale Regional (A)</t>
  </si>
  <si>
    <t>SSROC</t>
  </si>
  <si>
    <t>Inner West (A)</t>
  </si>
  <si>
    <t>WSROC</t>
  </si>
  <si>
    <t>Cumberland (A)</t>
  </si>
  <si>
    <t>NEWF</t>
  </si>
  <si>
    <t>Ballina (A)</t>
  </si>
  <si>
    <t>Balranald (A)</t>
  </si>
  <si>
    <t>Canterbury-Bankstown (A)</t>
  </si>
  <si>
    <t>Bathurst Regional (A)</t>
  </si>
  <si>
    <t>The Hills Shire (A)</t>
  </si>
  <si>
    <t>CBRJO</t>
  </si>
  <si>
    <t>Bega Valley (A)</t>
  </si>
  <si>
    <t>Bellingen (A)</t>
  </si>
  <si>
    <t>Berrigan (A)</t>
  </si>
  <si>
    <t>Blacktown (C)</t>
  </si>
  <si>
    <t>REROC</t>
  </si>
  <si>
    <t>Bland (A)</t>
  </si>
  <si>
    <t>Blayney (A)</t>
  </si>
  <si>
    <t>Blue Mountains (C)</t>
  </si>
  <si>
    <t>Bogan (A)</t>
  </si>
  <si>
    <t>Snowy Monaro Regional (A)</t>
  </si>
  <si>
    <t>Hilltops (A)</t>
  </si>
  <si>
    <t xml:space="preserve">Bayside Council </t>
  </si>
  <si>
    <t>Bourke (A)</t>
  </si>
  <si>
    <t>Brewarrina (A)</t>
  </si>
  <si>
    <t>Broken Hill (C)</t>
  </si>
  <si>
    <t>Burwood (A)</t>
  </si>
  <si>
    <t>Byron (A)</t>
  </si>
  <si>
    <t>Cabonne (A)</t>
  </si>
  <si>
    <t>MACROC</t>
  </si>
  <si>
    <t>Camden (A)</t>
  </si>
  <si>
    <t>Campbelltown (C) (NSW)</t>
  </si>
  <si>
    <t>Canada Bay (A)</t>
  </si>
  <si>
    <t>RAMROC Riverina</t>
  </si>
  <si>
    <t>Carrathool (A)</t>
  </si>
  <si>
    <t>Central Darling (A)</t>
  </si>
  <si>
    <t>Hunter</t>
  </si>
  <si>
    <t>Cessnock (C)</t>
  </si>
  <si>
    <t>Clarence Valley (A)</t>
  </si>
  <si>
    <t>Cobar (A)</t>
  </si>
  <si>
    <t>Coffs Harbour (C)</t>
  </si>
  <si>
    <t>Edward River (A)</t>
  </si>
  <si>
    <t>Coolamon (A)</t>
  </si>
  <si>
    <t>Coonamble (A)</t>
  </si>
  <si>
    <t>Federation (A)</t>
  </si>
  <si>
    <t>Cowra (A)</t>
  </si>
  <si>
    <t>Western Plains Regional (A)</t>
  </si>
  <si>
    <t>Dungog (A)</t>
  </si>
  <si>
    <t>Eurobodalla (A)</t>
  </si>
  <si>
    <t>Fairfield (C)</t>
  </si>
  <si>
    <t>Forbes (A)</t>
  </si>
  <si>
    <t>Gilgandra (A)</t>
  </si>
  <si>
    <t>Glen Innes Severn (A)</t>
  </si>
  <si>
    <t>Mid-Coast (A)</t>
  </si>
  <si>
    <t>Central Coast (C) (NSW)</t>
  </si>
  <si>
    <t>Goulburn Mulwaree (A)</t>
  </si>
  <si>
    <t>Greater Hume Shire (A)</t>
  </si>
  <si>
    <t>Griffith (C)</t>
  </si>
  <si>
    <t>Gunnedah (A)</t>
  </si>
  <si>
    <t>Gwydir (A)</t>
  </si>
  <si>
    <t>Port Macquarie-Hastings (A)</t>
  </si>
  <si>
    <t>Hawkesbury (C)</t>
  </si>
  <si>
    <t>Hay (A)</t>
  </si>
  <si>
    <t>NSROC</t>
  </si>
  <si>
    <t>Hornsby (A)</t>
  </si>
  <si>
    <t>Hunters Hill (A)</t>
  </si>
  <si>
    <t>Georges River (A)</t>
  </si>
  <si>
    <t>Inverell (A)</t>
  </si>
  <si>
    <t>Murrumbidgee (A)</t>
  </si>
  <si>
    <t>Junee (A)</t>
  </si>
  <si>
    <t>Kempsey (A)</t>
  </si>
  <si>
    <t>Kiama (A)</t>
  </si>
  <si>
    <t>Ku-ring-gai (A)</t>
  </si>
  <si>
    <t>Kyogle (A)</t>
  </si>
  <si>
    <t>Lachlan (A)</t>
  </si>
  <si>
    <t>Lake Macquarie (C)</t>
  </si>
  <si>
    <t>Lane Cove (A)</t>
  </si>
  <si>
    <t>Leeton (A)</t>
  </si>
  <si>
    <t>Lismore (C)</t>
  </si>
  <si>
    <t>Lithgow (C)</t>
  </si>
  <si>
    <t>Liverpool (C)</t>
  </si>
  <si>
    <t>Liverpool Plains (A)</t>
  </si>
  <si>
    <t>Lockhart (A)</t>
  </si>
  <si>
    <t>Maitland (C)</t>
  </si>
  <si>
    <t>Northern Beaches (A)</t>
  </si>
  <si>
    <t>Mid-Western Regional (A)</t>
  </si>
  <si>
    <t>Moree Plains (A)</t>
  </si>
  <si>
    <t>Mosman (A)</t>
  </si>
  <si>
    <t>Murray River (A)</t>
  </si>
  <si>
    <t>Muswellbrook (A)</t>
  </si>
  <si>
    <t>Nambucca (A)</t>
  </si>
  <si>
    <t>Narrabri (A)</t>
  </si>
  <si>
    <t>Narrandera (A)</t>
  </si>
  <si>
    <t>Narromine (A)</t>
  </si>
  <si>
    <t>Newcastle (C)</t>
  </si>
  <si>
    <t>North Sydney (A)</t>
  </si>
  <si>
    <t>Oberon (A)</t>
  </si>
  <si>
    <t>Orange (C)</t>
  </si>
  <si>
    <t>Queanbeyan-Palerang Regional (A)</t>
  </si>
  <si>
    <t>Parkes (A)</t>
  </si>
  <si>
    <t>Parramatta (C)</t>
  </si>
  <si>
    <t>Penrith (C)</t>
  </si>
  <si>
    <t>Port Stephens (A)</t>
  </si>
  <si>
    <t>Randwick (C)</t>
  </si>
  <si>
    <t>Richmond Valley (A)</t>
  </si>
  <si>
    <t>Ryde (C)</t>
  </si>
  <si>
    <t>Shellharbour (C)</t>
  </si>
  <si>
    <t>Shoalhaven (C)</t>
  </si>
  <si>
    <t>Singleton (A)</t>
  </si>
  <si>
    <t>Strathfield (A)</t>
  </si>
  <si>
    <t>Sutherland Shire (A)</t>
  </si>
  <si>
    <t>Sydney (C)</t>
  </si>
  <si>
    <t>Tamworth Regional (A)</t>
  </si>
  <si>
    <t>Temora (A)</t>
  </si>
  <si>
    <t>Tenterfield (A)</t>
  </si>
  <si>
    <t>Snowy Valleys (A)</t>
  </si>
  <si>
    <t>Tweed (A)</t>
  </si>
  <si>
    <t>Upper Hunter Shire (A)</t>
  </si>
  <si>
    <t>Upper Lachlan Shire (A)</t>
  </si>
  <si>
    <t>Uralla (A)</t>
  </si>
  <si>
    <t>Wagga Wagga (C)</t>
  </si>
  <si>
    <t>Walcha (A)</t>
  </si>
  <si>
    <t>Walgett (A)</t>
  </si>
  <si>
    <t>Warren (A)</t>
  </si>
  <si>
    <t>Warrumbungle Shire (A)</t>
  </si>
  <si>
    <t>Waverley (A)</t>
  </si>
  <si>
    <t>Weddin (A)</t>
  </si>
  <si>
    <t>Wentworth (A)</t>
  </si>
  <si>
    <t>Willoughby (C)</t>
  </si>
  <si>
    <t>Wingecarribee (A)</t>
  </si>
  <si>
    <t>Wollondilly (A)</t>
  </si>
  <si>
    <t>Wollongong (C)</t>
  </si>
  <si>
    <t>Woollahra (A)</t>
  </si>
  <si>
    <t>Yass Valley (A)</t>
  </si>
  <si>
    <t>Top</t>
  </si>
  <si>
    <t>OLD NRA</t>
  </si>
  <si>
    <t>GSR</t>
  </si>
  <si>
    <t>Count</t>
  </si>
  <si>
    <t>Sum</t>
  </si>
  <si>
    <t>Min</t>
  </si>
  <si>
    <t>Max</t>
  </si>
  <si>
    <t>Ave</t>
  </si>
  <si>
    <t>Median</t>
  </si>
  <si>
    <t>HUNTER</t>
  </si>
  <si>
    <t>Unincorporated</t>
  </si>
  <si>
    <t>Total Recycled</t>
  </si>
  <si>
    <t>Kg per Capita /wk</t>
  </si>
  <si>
    <t>Kg per HH/wk</t>
  </si>
  <si>
    <t>Recycling</t>
  </si>
  <si>
    <t>Residual</t>
  </si>
  <si>
    <t>Kg/hh/wk</t>
  </si>
  <si>
    <t>Total KG/hh/wk</t>
  </si>
  <si>
    <t>kg/hh/wk FOGO</t>
  </si>
  <si>
    <t>Average NSW</t>
  </si>
  <si>
    <t>Bin System</t>
  </si>
  <si>
    <t>kg/hh/wk Organics</t>
  </si>
  <si>
    <t>Forthnightly</t>
  </si>
  <si>
    <t>LGA Code</t>
  </si>
  <si>
    <t>NEW LGA code</t>
  </si>
  <si>
    <t>NEW Council Name</t>
  </si>
  <si>
    <t xml:space="preserve">2016-17  Collected </t>
  </si>
  <si>
    <t>2016-17 Recycled</t>
  </si>
  <si>
    <t>2016-17 Disposed</t>
  </si>
  <si>
    <t>Dubbo Regional (A)</t>
  </si>
  <si>
    <t>ISJO</t>
  </si>
  <si>
    <t>2016-17</t>
  </si>
  <si>
    <t>NetWaste</t>
  </si>
  <si>
    <t>MidWaste</t>
  </si>
  <si>
    <t>Gundagai - Cootamundra (A)</t>
  </si>
  <si>
    <t>Appendix 3: Total Domestic Generation (tonnes) and Recycling Rates 2016-17</t>
  </si>
  <si>
    <t>Appendix 4: Total Domestic Recyclable Generation 2016-17</t>
  </si>
  <si>
    <t>Appendix 5: Total Domestic Organics Generation 2016-17</t>
  </si>
  <si>
    <t>Appendix 6: Total Domestic Residual Waste Generation and Disposal 2016-17</t>
  </si>
  <si>
    <t>Appendix 7: Weekly Kerbside Household and Per Capita Generation 2016-17</t>
  </si>
  <si>
    <t>Fixed Columns</t>
  </si>
  <si>
    <t>2016-17 Population</t>
  </si>
  <si>
    <t>2016-17 Total Households LG Survey</t>
  </si>
  <si>
    <t>Areas</t>
  </si>
  <si>
    <t>Rest of NSW</t>
  </si>
  <si>
    <t>GSR / MLA</t>
  </si>
  <si>
    <t>% Change (Annual)</t>
  </si>
  <si>
    <t>% Change (Cummulative)</t>
  </si>
  <si>
    <t>Un.Inc.</t>
  </si>
  <si>
    <t>Appendix 2: Total Domestic Generation, Recycling Rates and Averages 2016-17</t>
  </si>
  <si>
    <t>Appendix 8: Predominant Bin Size and Collection Frequency 2016-17</t>
  </si>
  <si>
    <t>F/N</t>
  </si>
  <si>
    <t>Call</t>
  </si>
  <si>
    <t>Garden Organics</t>
  </si>
  <si>
    <t>240 Split</t>
  </si>
  <si>
    <t>2016-17 Kerbside recycling</t>
  </si>
  <si>
    <t>Kerbside Recycling Materials accepted in Yellow Lid Bin 2016-17</t>
  </si>
  <si>
    <t>R19_1</t>
  </si>
  <si>
    <t>R19_2</t>
  </si>
  <si>
    <t>R19_3</t>
  </si>
  <si>
    <t>R19_4</t>
  </si>
  <si>
    <t>R19_5</t>
  </si>
  <si>
    <t>R19_6</t>
  </si>
  <si>
    <t>R19_7</t>
  </si>
  <si>
    <t>R19_8</t>
  </si>
  <si>
    <t>R19_9</t>
  </si>
  <si>
    <t>R19_10</t>
  </si>
  <si>
    <t>R19_11</t>
  </si>
  <si>
    <t>R19_12</t>
  </si>
  <si>
    <t>R19_13</t>
  </si>
  <si>
    <t>R19_14</t>
  </si>
  <si>
    <t>R19_15</t>
  </si>
  <si>
    <t>R19_16</t>
  </si>
  <si>
    <t>R19_17</t>
  </si>
  <si>
    <t>R19_17_1</t>
  </si>
  <si>
    <t>LGA code</t>
  </si>
  <si>
    <t>Paper</t>
  </si>
  <si>
    <t>Cardboard</t>
  </si>
  <si>
    <t>LPB cartons</t>
  </si>
  <si>
    <t>Glass</t>
  </si>
  <si>
    <t>Al Cans</t>
  </si>
  <si>
    <t>Steel Cans</t>
  </si>
  <si>
    <t>Plastics 1-3 (PET,HDPE,PVC)</t>
  </si>
  <si>
    <t>Plastics 4 (LDPE)</t>
  </si>
  <si>
    <t>Plastics 5 (PP)</t>
  </si>
  <si>
    <t>Plastics 6 (PS)</t>
  </si>
  <si>
    <t>Plastics 7 (Other)</t>
  </si>
  <si>
    <t>Hard Plastics (plant pots)</t>
  </si>
  <si>
    <t>Soft Plastics (Film, wrapping, bags)</t>
  </si>
  <si>
    <t>Batteries</t>
  </si>
  <si>
    <t>Electrical Items</t>
  </si>
  <si>
    <t>Textiles</t>
  </si>
  <si>
    <t>Other explained</t>
  </si>
  <si>
    <t>x-rays, smoke detectors, small electrical all in resource recovery satchel only</t>
  </si>
  <si>
    <t>Aluminium foil (balled)</t>
  </si>
  <si>
    <t>LPB foil lined</t>
  </si>
  <si>
    <t>Gundagai (A)</t>
  </si>
  <si>
    <t>XRays; smoke alarms, phones using resource recovery bags</t>
  </si>
  <si>
    <t>Note Plastics 6 excudes expanded PS</t>
  </si>
  <si>
    <t>Rigid household plastics from kitchen, bathroom, laundry</t>
  </si>
  <si>
    <t>TOTAL</t>
  </si>
  <si>
    <t>240LSp</t>
  </si>
  <si>
    <t>Appendix 10: Domestic Waste Management Charges 2016-17</t>
  </si>
  <si>
    <t>GO</t>
  </si>
  <si>
    <t>No. LGA</t>
  </si>
  <si>
    <t>Ave kg/wk</t>
  </si>
  <si>
    <t>Red</t>
  </si>
  <si>
    <t>Red/Yellow</t>
  </si>
  <si>
    <t>Red/Yellow/Green</t>
  </si>
  <si>
    <t>Red/Yellow/FOGO</t>
  </si>
  <si>
    <t>Red/Yellow/Green/FOGO</t>
  </si>
  <si>
    <t>Yellow</t>
  </si>
  <si>
    <t>Ave Rec %</t>
  </si>
  <si>
    <t>Ridley's Mini Skips</t>
  </si>
  <si>
    <t>Veolia</t>
  </si>
  <si>
    <t>Woodlawn</t>
  </si>
  <si>
    <t>Biomass Solutions</t>
  </si>
  <si>
    <t>Coffs Harbour</t>
  </si>
  <si>
    <t>Suez</t>
  </si>
  <si>
    <t>Eastern Creek</t>
  </si>
  <si>
    <t>SUEZ Australia</t>
  </si>
  <si>
    <t>Kemps Creek</t>
  </si>
  <si>
    <t>Suez Recycling &amp; Recovery</t>
  </si>
  <si>
    <t>UR3R (Grec)</t>
  </si>
  <si>
    <t>SUEZ</t>
  </si>
  <si>
    <t>KEMPS CREEK</t>
  </si>
  <si>
    <t>Raymond Terrace</t>
  </si>
  <si>
    <t>SAWT and UR-3R</t>
  </si>
  <si>
    <t>Kemps Creek/Eastern Creek</t>
  </si>
  <si>
    <t>Armidale</t>
  </si>
  <si>
    <t>hh</t>
  </si>
  <si>
    <t>AWMC</t>
  </si>
  <si>
    <t>Guyra Waste Transfer Facility</t>
  </si>
  <si>
    <t>Ballina Waste Management Centre</t>
  </si>
  <si>
    <t>Balranald</t>
  </si>
  <si>
    <t>Bathurst WMC</t>
  </si>
  <si>
    <t>Merimbula</t>
  </si>
  <si>
    <t>Raleigh Waste Management Centre</t>
  </si>
  <si>
    <t>Berrigan Landfill</t>
  </si>
  <si>
    <t>Chemical Cleanout - Depot</t>
  </si>
  <si>
    <t>West Wyalong Landfill</t>
  </si>
  <si>
    <t>Blayney Waste Facility</t>
  </si>
  <si>
    <t xml:space="preserve">Katoomba Waste and Resource Recovery Facility  </t>
  </si>
  <si>
    <t>Nyngan Waste Facility</t>
  </si>
  <si>
    <t>Brewarrina Waste Depot</t>
  </si>
  <si>
    <t xml:space="preserve">Broken Hill Waste Management Facility </t>
  </si>
  <si>
    <t>E-waste Drop Off</t>
  </si>
  <si>
    <t>Byron Resource Recovery Facility</t>
  </si>
  <si>
    <t>Canowindra WMF</t>
  </si>
  <si>
    <t>Buttonderrry</t>
  </si>
  <si>
    <t>Cessnock Waste Management Centre</t>
  </si>
  <si>
    <t>Grafton Landfill</t>
  </si>
  <si>
    <t>Coramba Transfer Station</t>
  </si>
  <si>
    <t>Coonamble</t>
  </si>
  <si>
    <t>Woodstock</t>
  </si>
  <si>
    <t>Holroyd Depot</t>
  </si>
  <si>
    <t>Dungog Waste Management facility</t>
  </si>
  <si>
    <t>Deniliquin Waste Disposal Facility</t>
  </si>
  <si>
    <t>Brou WMF</t>
  </si>
  <si>
    <t>Recycling Drop Off Centre</t>
  </si>
  <si>
    <t>Corowa Landfill</t>
  </si>
  <si>
    <t>Daroobalgie</t>
  </si>
  <si>
    <t>Depot Rd Mortdale</t>
  </si>
  <si>
    <t>Gilgandra Waste Facility:Scrap steel</t>
  </si>
  <si>
    <t>Glen Innes and District Community Recycling Centre</t>
  </si>
  <si>
    <t>Goulburn Waste Management Centre</t>
  </si>
  <si>
    <t>culcairn</t>
  </si>
  <si>
    <t>Tharbogang Waste Transfer Station</t>
  </si>
  <si>
    <t>Turners Lane</t>
  </si>
  <si>
    <t>Gunnedah Waste Management Facility</t>
  </si>
  <si>
    <t>Bingara Landfill</t>
  </si>
  <si>
    <t>Hawkesbury City Waste Management Facility</t>
  </si>
  <si>
    <t>Hay Shire CRC</t>
  </si>
  <si>
    <t>Victoria Street</t>
  </si>
  <si>
    <t>Thornleigh Depot</t>
  </si>
  <si>
    <t>Moore St CRC</t>
  </si>
  <si>
    <t>Ashford</t>
  </si>
  <si>
    <t>Junee Landfill</t>
  </si>
  <si>
    <t>Kempsey Waste Management Centre</t>
  </si>
  <si>
    <t>Minnamurra CRC</t>
  </si>
  <si>
    <t>Kyogle Landfill</t>
  </si>
  <si>
    <t xml:space="preserve">Condobolin </t>
  </si>
  <si>
    <t>CRC - Toxfree Awaba</t>
  </si>
  <si>
    <t>Leeton Resource Recovery Centre</t>
  </si>
  <si>
    <t>Nimbin Transfer Station</t>
  </si>
  <si>
    <t>Lithgow SWF</t>
  </si>
  <si>
    <t>Liverpool CRC</t>
  </si>
  <si>
    <t>The Rock Cardboard</t>
  </si>
  <si>
    <t>Mt Vincent Rd Waste Management Centre</t>
  </si>
  <si>
    <t>Bucketts Way Landfill</t>
  </si>
  <si>
    <t>Kandos Waste Transfer Station</t>
  </si>
  <si>
    <t>Moree Waste Management Facility</t>
  </si>
  <si>
    <t>Mathoura Transfer Station</t>
  </si>
  <si>
    <t>Muswellbrook Waste &amp; Recycling Facility</t>
  </si>
  <si>
    <t>Nambucca Waste Facility</t>
  </si>
  <si>
    <t>9 transfer stations</t>
  </si>
  <si>
    <t>Narromine Waste Facility</t>
  </si>
  <si>
    <t>Summerhill Waste Management Centre</t>
  </si>
  <si>
    <t>Coal Loader</t>
  </si>
  <si>
    <t>Kimbriki - Vegetation</t>
  </si>
  <si>
    <t>Oberon Waste Depot</t>
  </si>
  <si>
    <t>Ophir Rd Resource Recovery Centre</t>
  </si>
  <si>
    <t>Tullamore</t>
  </si>
  <si>
    <t>Libraries</t>
  </si>
  <si>
    <t>Cairncross Waste Management Facility</t>
  </si>
  <si>
    <t>Salamander Bay Waste Transfer Station</t>
  </si>
  <si>
    <t>Waste Minimisation Centre</t>
  </si>
  <si>
    <t>Randwick Recycling Centre</t>
  </si>
  <si>
    <t>Nammoona Waste Facility</t>
  </si>
  <si>
    <t>Mobile Recycle Unit</t>
  </si>
  <si>
    <t>Dunmore Recycling &amp; Waste Disposal Depot</t>
  </si>
  <si>
    <t>West Nowra Recycling ans Waste Facility</t>
  </si>
  <si>
    <t>Singleton Waste Management Facility</t>
  </si>
  <si>
    <t>Bombala Waste Depot</t>
  </si>
  <si>
    <t>Tumut</t>
  </si>
  <si>
    <t>Forest Road Waste Management Facility</t>
  </si>
  <si>
    <t>Teal St Landfill</t>
  </si>
  <si>
    <t>Tenterfield WTS</t>
  </si>
  <si>
    <t>SUEZ Seven Hills</t>
  </si>
  <si>
    <t>Stotts Creek Resource Recovery Centre</t>
  </si>
  <si>
    <t>Scone</t>
  </si>
  <si>
    <t>Crookwell Landfill</t>
  </si>
  <si>
    <t>Gregadoo Waste Management Centre</t>
  </si>
  <si>
    <t>Walcha Waste Depot</t>
  </si>
  <si>
    <t>Walgett Landfill</t>
  </si>
  <si>
    <t>Ewenmar Waste Facility</t>
  </si>
  <si>
    <t>Coonabarabran</t>
  </si>
  <si>
    <t>Grenfell Waste Faciltity</t>
  </si>
  <si>
    <t>Wentworth Transfer Station</t>
  </si>
  <si>
    <t>Transfer Stations Dubbo</t>
  </si>
  <si>
    <t>Resource Recovery Centre</t>
  </si>
  <si>
    <t>Bargo Waste Management Centre</t>
  </si>
  <si>
    <t>Whytes Gully Community droppff</t>
  </si>
  <si>
    <t>Yass Transfer Station</t>
  </si>
  <si>
    <t>Tilbuster Waste Transfer Station</t>
  </si>
  <si>
    <t>Euston</t>
  </si>
  <si>
    <t>Sofala T/station</t>
  </si>
  <si>
    <t>Bermagui</t>
  </si>
  <si>
    <t>Bellingen Transfer Station</t>
  </si>
  <si>
    <t>Tocumwal Landfill</t>
  </si>
  <si>
    <t>Blaxland Waste and Resource Recovery Facility</t>
  </si>
  <si>
    <t>Goodooga Waste Depot</t>
  </si>
  <si>
    <t>Cargo WMF</t>
  </si>
  <si>
    <t>Kincumber</t>
  </si>
  <si>
    <t>Glenreagh WTS</t>
  </si>
  <si>
    <t>Lowanna Transfer Station</t>
  </si>
  <si>
    <t>Quambone</t>
  </si>
  <si>
    <t>Blighty Landfll</t>
  </si>
  <si>
    <t>Surf Beach WMF</t>
  </si>
  <si>
    <t>Howlong Landfill</t>
  </si>
  <si>
    <t>Tooraweenah Recycling Drop-off</t>
  </si>
  <si>
    <t>Emmavliie Landfill</t>
  </si>
  <si>
    <t>Marulan Waste Management Centre</t>
  </si>
  <si>
    <t>Holbrook</t>
  </si>
  <si>
    <t>Stockinbingal Landfill</t>
  </si>
  <si>
    <t>Curlewis Waste Facility</t>
  </si>
  <si>
    <t>Warialda Landfill</t>
  </si>
  <si>
    <t>Redhill Road</t>
  </si>
  <si>
    <t>Bonshaw</t>
  </si>
  <si>
    <t>Rural Transfer Stations</t>
  </si>
  <si>
    <t>South West Rocks Transfer Station</t>
  </si>
  <si>
    <t>Minnamurra Waste Depot</t>
  </si>
  <si>
    <t>Woodenbong Landfill</t>
  </si>
  <si>
    <t xml:space="preserve">Lake Cargelligo </t>
  </si>
  <si>
    <t>Mattresses Awaba</t>
  </si>
  <si>
    <t>Brewster Street Drop Off Centre</t>
  </si>
  <si>
    <t>Portland Garbage Depot</t>
  </si>
  <si>
    <t>Lockhart Lions Club</t>
  </si>
  <si>
    <t>Gloucester Landfill</t>
  </si>
  <si>
    <t>Mudgee Waste Facility</t>
  </si>
  <si>
    <t>Mungindi Transferstation</t>
  </si>
  <si>
    <t>Moama Landfill</t>
  </si>
  <si>
    <t>Denman Transfer Station</t>
  </si>
  <si>
    <t>Battery Brokers, Hamilton</t>
  </si>
  <si>
    <t>Northern Sydney CRC</t>
  </si>
  <si>
    <t>Kimbriki - eWaste</t>
  </si>
  <si>
    <t>Burraga</t>
  </si>
  <si>
    <t>Port Macquarie Waste Management Facility (transfer station)</t>
  </si>
  <si>
    <t>Bungendore Resource Recovery Centre</t>
  </si>
  <si>
    <t>Evans Head Transfer Station</t>
  </si>
  <si>
    <t>Ulladulla recycling and Waste Transfer Facility</t>
  </si>
  <si>
    <t>Delegate Waste Depot</t>
  </si>
  <si>
    <t>Adelong</t>
  </si>
  <si>
    <t>Barraba Landfill</t>
  </si>
  <si>
    <t>Lions Club</t>
  </si>
  <si>
    <t>Drake WTS</t>
  </si>
  <si>
    <t>Aberdeen</t>
  </si>
  <si>
    <t>Gunning Landfill</t>
  </si>
  <si>
    <t xml:space="preserve">Transfer stations </t>
  </si>
  <si>
    <t>Woolbrook Landfill</t>
  </si>
  <si>
    <t>Lightning Ridge Landfill</t>
  </si>
  <si>
    <t>Baradine</t>
  </si>
  <si>
    <t>Quandialla Landfill</t>
  </si>
  <si>
    <t>Dareton Transfer station</t>
  </si>
  <si>
    <t>Wellington Waste Disposal Depot</t>
  </si>
  <si>
    <t>Gundaroo Landfill</t>
  </si>
  <si>
    <t>Ebor Waste Transfer Station</t>
  </si>
  <si>
    <t>Sunny Corner T/station</t>
  </si>
  <si>
    <t>Eden</t>
  </si>
  <si>
    <t>Dorrigo Waste Management Centre</t>
  </si>
  <si>
    <t>Angledool Waste depot</t>
  </si>
  <si>
    <t>Cumnock WMF</t>
  </si>
  <si>
    <t>Woy Woy</t>
  </si>
  <si>
    <t>Grafton WTS</t>
  </si>
  <si>
    <t>Woolgoolga Transfer Station</t>
  </si>
  <si>
    <t>Booroorban Landfill</t>
  </si>
  <si>
    <t>Moruya Transfer Station</t>
  </si>
  <si>
    <t>Mulwala Transfer station</t>
  </si>
  <si>
    <t>Armatree Recycling Drop-off</t>
  </si>
  <si>
    <t>Deepwater Landfill</t>
  </si>
  <si>
    <t>Tarago Waste Management Centre</t>
  </si>
  <si>
    <t>Brocklesby</t>
  </si>
  <si>
    <t>Wallendbeen Landfill</t>
  </si>
  <si>
    <t>Carroll Waste Facility</t>
  </si>
  <si>
    <t>Coolatai Landfill</t>
  </si>
  <si>
    <t>Boorowa Landfill</t>
  </si>
  <si>
    <t>Yetman</t>
  </si>
  <si>
    <t>Stuarts Point Transfer Station</t>
  </si>
  <si>
    <t xml:space="preserve">Burcher </t>
  </si>
  <si>
    <t>Green Waste drop off - Awaba</t>
  </si>
  <si>
    <t>Lismore Recycling and Recovery Centre</t>
  </si>
  <si>
    <t>Wallerawang Garbage Depot</t>
  </si>
  <si>
    <t>REROC Household Hazardous Waste Collection</t>
  </si>
  <si>
    <t>Tuncurry Waste Facility</t>
  </si>
  <si>
    <t>Other Waste Transfers x 13</t>
  </si>
  <si>
    <t>Pallamallawa Landfill</t>
  </si>
  <si>
    <t>Barham Transfer Station</t>
  </si>
  <si>
    <t>Matilda's Service Station, Wallsend</t>
  </si>
  <si>
    <t>Kimbriki - Charity</t>
  </si>
  <si>
    <t>Black Springs</t>
  </si>
  <si>
    <t>Wauchope Transfer station</t>
  </si>
  <si>
    <t>Macs Reef Waste Transfer Station</t>
  </si>
  <si>
    <t>Bora Ridge Transfer Station</t>
  </si>
  <si>
    <t>Huskisson Recycling and Waste Transfer Facility</t>
  </si>
  <si>
    <t>Cathcart Transfer Station</t>
  </si>
  <si>
    <t>Talbingo</t>
  </si>
  <si>
    <t>Duri Landfill</t>
  </si>
  <si>
    <t>Urbenville WTS</t>
  </si>
  <si>
    <t>Murrurundi</t>
  </si>
  <si>
    <t>Taralga Trasnfer Station</t>
  </si>
  <si>
    <t>Nowendoc Landfill</t>
  </si>
  <si>
    <t>Collarenebri Landfll</t>
  </si>
  <si>
    <t>Binnaway</t>
  </si>
  <si>
    <t>Caragabal Landfill</t>
  </si>
  <si>
    <t>Ellerslie Tip</t>
  </si>
  <si>
    <t>Whylandra Waste Disposal Depot</t>
  </si>
  <si>
    <t>Murrumbateman Transfer Station</t>
  </si>
  <si>
    <t>Woollomombi Waste Transfer Station</t>
  </si>
  <si>
    <t>Rockley T/station</t>
  </si>
  <si>
    <t>Wallagoot</t>
  </si>
  <si>
    <t>Weilmoringle Waste depot</t>
  </si>
  <si>
    <t>Eugowra WMF</t>
  </si>
  <si>
    <t>Maclean WTS</t>
  </si>
  <si>
    <t xml:space="preserve">Englands Road Waste Management Facility </t>
  </si>
  <si>
    <t>Conargo Landfill</t>
  </si>
  <si>
    <t>Oaklands Tip</t>
  </si>
  <si>
    <t>Gilgandra Waste Facility: rural recycling</t>
  </si>
  <si>
    <t>Red Range Landfill</t>
  </si>
  <si>
    <t>Gerogery</t>
  </si>
  <si>
    <t xml:space="preserve">Gundagai Landfill </t>
  </si>
  <si>
    <t>Mullaley Waste Facility</t>
  </si>
  <si>
    <t>Croppa Creek Landfill</t>
  </si>
  <si>
    <t>Harden WTS</t>
  </si>
  <si>
    <t>Delungra</t>
  </si>
  <si>
    <t>Bellbrook Transfer Station</t>
  </si>
  <si>
    <t>Tuliibigeal</t>
  </si>
  <si>
    <t>Public Place Sharps</t>
  </si>
  <si>
    <t>Cullen Bullen Garbage Depot</t>
  </si>
  <si>
    <t>Lockhart Community Recycling Centre</t>
  </si>
  <si>
    <t>Tea Gardens Transfer Station</t>
  </si>
  <si>
    <t>Biniguy Landfill</t>
  </si>
  <si>
    <t>Wakool Landfill</t>
  </si>
  <si>
    <t>Council Libraries and Customer Enquiry Centre</t>
  </si>
  <si>
    <t>Kew Transfer station</t>
  </si>
  <si>
    <t>Braidwood Landfill</t>
  </si>
  <si>
    <t>Rappville Transfer Station</t>
  </si>
  <si>
    <t>Berry Recycling and Waste transfer Facility</t>
  </si>
  <si>
    <t>Jindabyne Regional Was</t>
  </si>
  <si>
    <t>Manilla Landfill</t>
  </si>
  <si>
    <t>Liston WTS</t>
  </si>
  <si>
    <t>Merriwa</t>
  </si>
  <si>
    <t>Collector Transfer Station</t>
  </si>
  <si>
    <t>Carinda Landfill</t>
  </si>
  <si>
    <t>Ulamambri</t>
  </si>
  <si>
    <t>Pomona Tip</t>
  </si>
  <si>
    <t>Wellington transfer stations</t>
  </si>
  <si>
    <t>Hillgrove Waste Transfer Station</t>
  </si>
  <si>
    <t>Trunkey Creek T/station</t>
  </si>
  <si>
    <t>Rural TS</t>
  </si>
  <si>
    <t>Manildra WMF</t>
  </si>
  <si>
    <t>Tyringham WTS</t>
  </si>
  <si>
    <t>Pretty Pine Landfill</t>
  </si>
  <si>
    <t>Urana Tip</t>
  </si>
  <si>
    <t>Jindera</t>
  </si>
  <si>
    <t>4 transfer stations</t>
  </si>
  <si>
    <t>Breeza Waste Facility</t>
  </si>
  <si>
    <t>Gravesend Landfill</t>
  </si>
  <si>
    <t>Koorawatha</t>
  </si>
  <si>
    <t xml:space="preserve">Tottenham </t>
  </si>
  <si>
    <t>Landfill - Awaba</t>
  </si>
  <si>
    <t>Capertee Garbage Depot</t>
  </si>
  <si>
    <t>Bulahdelah Transfer Station</t>
  </si>
  <si>
    <t>Boggabilla Landfill</t>
  </si>
  <si>
    <t>Goodnight Landfill</t>
  </si>
  <si>
    <t>Dunbogan Landfill</t>
  </si>
  <si>
    <t>Captains Flat Waste Transfer Station</t>
  </si>
  <si>
    <t>Callala Recycling and Waste transfer Facility</t>
  </si>
  <si>
    <t>Adaminaby Landfill</t>
  </si>
  <si>
    <t>Nundle Landfill</t>
  </si>
  <si>
    <t>Legume WTS</t>
  </si>
  <si>
    <t>Bigga Landfill</t>
  </si>
  <si>
    <t>Rowena Landfill</t>
  </si>
  <si>
    <t>Coolah</t>
  </si>
  <si>
    <t>Pooncarie Tip</t>
  </si>
  <si>
    <t>Hill End tip</t>
  </si>
  <si>
    <t>Yeoval WMF</t>
  </si>
  <si>
    <t>Copmanhurst &amp; Iluka &amp; Baryulgil</t>
  </si>
  <si>
    <t>Wanganella Landfill</t>
  </si>
  <si>
    <t>other</t>
  </si>
  <si>
    <t>Tambar Springs Facility</t>
  </si>
  <si>
    <t>Upper Horton Landfill</t>
  </si>
  <si>
    <t>Other Facilities</t>
  </si>
  <si>
    <t>E-waste/Metals/Other</t>
  </si>
  <si>
    <t>Glen Davis Garbage Depot</t>
  </si>
  <si>
    <t>Stroud Landfill</t>
  </si>
  <si>
    <t>Other landfills</t>
  </si>
  <si>
    <t>Moulamein/Kooraleigh Landfill</t>
  </si>
  <si>
    <t>Comboyne drop off</t>
  </si>
  <si>
    <t>Nerriga Landfill</t>
  </si>
  <si>
    <t>Sussex Inlet Recycling and Waste Transfer Facility</t>
  </si>
  <si>
    <t>Berridale Transfer Station</t>
  </si>
  <si>
    <t>Kootingal, Niangala, Watsons Creek, Bendemeer, Dungowan</t>
  </si>
  <si>
    <t>Tuena Landfill</t>
  </si>
  <si>
    <t>Dunedoo</t>
  </si>
  <si>
    <t>Buronga Landfill</t>
  </si>
  <si>
    <t>No.Hh 'Residual Waste Service</t>
  </si>
  <si>
    <t>No. Hh 'Recycling Service</t>
  </si>
  <si>
    <t>No. Hh 'Garden Organics Service</t>
  </si>
  <si>
    <t>No. Hh 'Food and Garden Organics Service</t>
  </si>
  <si>
    <t>Councils count</t>
  </si>
  <si>
    <r>
      <t xml:space="preserve">Kerbside Combined </t>
    </r>
    <r>
      <rPr>
        <b/>
        <sz val="8"/>
        <rFont val="Arial"/>
        <family val="2"/>
      </rPr>
      <t xml:space="preserve">Organics /FOGO </t>
    </r>
    <r>
      <rPr>
        <sz val="8"/>
        <rFont val="Arial"/>
        <family val="2"/>
      </rPr>
      <t xml:space="preserve"> Households</t>
    </r>
  </si>
  <si>
    <t>ORGANICS</t>
  </si>
  <si>
    <t>RAMJO Murray</t>
  </si>
  <si>
    <t>CRJO</t>
  </si>
  <si>
    <t>RAMJO Riverina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</si>
</sst>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  <numFmt numFmtId="167" formatCode="0.0"/>
    <numFmt numFmtId="168" formatCode="_-* #,##0.000_-;\-* #,##0.000_-;_-* &quot;-&quot;??_-;_-@_-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i/>
      <sz val="9"/>
      <color indexed="8"/>
      <name val="Calibri"/>
      <family val="2"/>
    </font>
    <font>
      <sz val="9"/>
      <color indexed="49"/>
      <name val="Calibri"/>
      <family val="2"/>
    </font>
    <font>
      <b/>
      <i/>
      <sz val="9"/>
      <color indexed="8"/>
      <name val="Calibri"/>
      <family val="2"/>
    </font>
    <font>
      <b/>
      <sz val="9"/>
      <color indexed="10"/>
      <name val="Calibri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57"/>
      <name val="Calibri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i/>
      <sz val="8"/>
      <color indexed="60"/>
      <name val="Arial"/>
      <family val="2"/>
    </font>
    <font>
      <i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9"/>
      <color theme="1"/>
      <name val="Calibri"/>
      <family val="2"/>
      <scheme val="minor"/>
    </font>
    <font>
      <i/>
      <sz val="8"/>
      <color rgb="FF0070C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rgb="FFC00000"/>
      <name val="Arial"/>
      <family val="2"/>
    </font>
    <font>
      <b/>
      <i/>
      <sz val="8"/>
      <name val="ARIAL"/>
      <family val="2"/>
    </font>
    <font>
      <sz val="9"/>
      <color indexed="81"/>
      <name val="Tahoma"/>
      <family val="2"/>
    </font>
    <font>
      <sz val="8"/>
      <color indexed="12"/>
      <name val="Arial"/>
      <family val="2"/>
    </font>
    <font>
      <i/>
      <sz val="8"/>
      <color indexed="17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 style="thin">
        <color indexed="22"/>
      </top>
      <bottom style="thin">
        <color indexed="9"/>
      </bottom>
      <diagonal/>
    </border>
    <border>
      <left/>
      <right/>
      <top style="thin">
        <color indexed="22"/>
      </top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indexed="9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9"/>
      </top>
      <bottom style="thin">
        <color theme="0" tint="-4.9989318521683403E-2"/>
      </bottom>
      <diagonal/>
    </border>
    <border>
      <left/>
      <right/>
      <top style="thin">
        <color indexed="9"/>
      </top>
      <bottom style="thin">
        <color theme="0" tint="-4.9989318521683403E-2"/>
      </bottom>
      <diagonal/>
    </border>
    <border>
      <left/>
      <right style="thin">
        <color indexed="9"/>
      </right>
      <top style="thin">
        <color indexed="9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</borders>
  <cellStyleXfs count="2986">
    <xf numFmtId="0" fontId="0" fillId="0" borderId="0"/>
    <xf numFmtId="43" fontId="2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3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4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4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4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27" fillId="47" borderId="0" applyNumberFormat="0" applyBorder="0" applyAlignment="0" applyProtection="0"/>
    <xf numFmtId="0" fontId="18" fillId="16" borderId="0" applyNumberFormat="0" applyBorder="0" applyAlignment="0" applyProtection="0"/>
    <xf numFmtId="0" fontId="27" fillId="44" borderId="0" applyNumberFormat="0" applyBorder="0" applyAlignment="0" applyProtection="0"/>
    <xf numFmtId="0" fontId="18" fillId="20" borderId="0" applyNumberFormat="0" applyBorder="0" applyAlignment="0" applyProtection="0"/>
    <xf numFmtId="0" fontId="27" fillId="45" borderId="0" applyNumberFormat="0" applyBorder="0" applyAlignment="0" applyProtection="0"/>
    <xf numFmtId="0" fontId="18" fillId="24" borderId="0" applyNumberFormat="0" applyBorder="0" applyAlignment="0" applyProtection="0"/>
    <xf numFmtId="0" fontId="27" fillId="48" borderId="0" applyNumberFormat="0" applyBorder="0" applyAlignment="0" applyProtection="0"/>
    <xf numFmtId="0" fontId="18" fillId="28" borderId="0" applyNumberFormat="0" applyBorder="0" applyAlignment="0" applyProtection="0"/>
    <xf numFmtId="0" fontId="27" fillId="49" borderId="0" applyNumberFormat="0" applyBorder="0" applyAlignment="0" applyProtection="0"/>
    <xf numFmtId="0" fontId="18" fillId="32" borderId="0" applyNumberFormat="0" applyBorder="0" applyAlignment="0" applyProtection="0"/>
    <xf numFmtId="0" fontId="27" fillId="50" borderId="0" applyNumberFormat="0" applyBorder="0" applyAlignment="0" applyProtection="0"/>
    <xf numFmtId="0" fontId="18" fillId="9" borderId="0" applyNumberFormat="0" applyBorder="0" applyAlignment="0" applyProtection="0"/>
    <xf numFmtId="0" fontId="27" fillId="51" borderId="0" applyNumberFormat="0" applyBorder="0" applyAlignment="0" applyProtection="0"/>
    <xf numFmtId="0" fontId="18" fillId="13" borderId="0" applyNumberFormat="0" applyBorder="0" applyAlignment="0" applyProtection="0"/>
    <xf numFmtId="0" fontId="27" fillId="52" borderId="0" applyNumberFormat="0" applyBorder="0" applyAlignment="0" applyProtection="0"/>
    <xf numFmtId="0" fontId="18" fillId="17" borderId="0" applyNumberFormat="0" applyBorder="0" applyAlignment="0" applyProtection="0"/>
    <xf numFmtId="0" fontId="27" fillId="53" borderId="0" applyNumberFormat="0" applyBorder="0" applyAlignment="0" applyProtection="0"/>
    <xf numFmtId="0" fontId="18" fillId="21" borderId="0" applyNumberFormat="0" applyBorder="0" applyAlignment="0" applyProtection="0"/>
    <xf numFmtId="0" fontId="27" fillId="48" borderId="0" applyNumberFormat="0" applyBorder="0" applyAlignment="0" applyProtection="0"/>
    <xf numFmtId="0" fontId="18" fillId="25" borderId="0" applyNumberFormat="0" applyBorder="0" applyAlignment="0" applyProtection="0"/>
    <xf numFmtId="0" fontId="27" fillId="49" borderId="0" applyNumberFormat="0" applyBorder="0" applyAlignment="0" applyProtection="0"/>
    <xf numFmtId="0" fontId="18" fillId="29" borderId="0" applyNumberFormat="0" applyBorder="0" applyAlignment="0" applyProtection="0"/>
    <xf numFmtId="0" fontId="27" fillId="54" borderId="0" applyNumberFormat="0" applyBorder="0" applyAlignment="0" applyProtection="0"/>
    <xf numFmtId="0" fontId="8" fillId="3" borderId="0" applyNumberFormat="0" applyBorder="0" applyAlignment="0" applyProtection="0"/>
    <xf numFmtId="0" fontId="28" fillId="38" borderId="0" applyNumberFormat="0" applyBorder="0" applyAlignment="0" applyProtection="0"/>
    <xf numFmtId="0" fontId="12" fillId="6" borderId="4" applyNumberFormat="0" applyAlignment="0" applyProtection="0"/>
    <xf numFmtId="0" fontId="29" fillId="55" borderId="21" applyNumberFormat="0" applyAlignment="0" applyProtection="0"/>
    <xf numFmtId="0" fontId="14" fillId="7" borderId="7" applyNumberFormat="0" applyAlignment="0" applyProtection="0"/>
    <xf numFmtId="0" fontId="30" fillId="56" borderId="22" applyNumberFormat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2" fillId="39" borderId="0" applyNumberFormat="0" applyBorder="0" applyAlignment="0" applyProtection="0"/>
    <xf numFmtId="0" fontId="4" fillId="0" borderId="1" applyNumberFormat="0" applyFill="0" applyAlignment="0" applyProtection="0"/>
    <xf numFmtId="0" fontId="33" fillId="0" borderId="23" applyNumberFormat="0" applyFill="0" applyAlignment="0" applyProtection="0"/>
    <xf numFmtId="0" fontId="5" fillId="0" borderId="2" applyNumberFormat="0" applyFill="0" applyAlignment="0" applyProtection="0"/>
    <xf numFmtId="0" fontId="34" fillId="0" borderId="24" applyNumberFormat="0" applyFill="0" applyAlignment="0" applyProtection="0"/>
    <xf numFmtId="0" fontId="6" fillId="0" borderId="3" applyNumberFormat="0" applyFill="0" applyAlignment="0" applyProtection="0"/>
    <xf numFmtId="0" fontId="35" fillId="0" borderId="25" applyNumberFormat="0" applyFill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36" fillId="42" borderId="21" applyNumberFormat="0" applyAlignment="0" applyProtection="0"/>
    <xf numFmtId="0" fontId="13" fillId="0" borderId="6" applyNumberFormat="0" applyFill="0" applyAlignment="0" applyProtection="0"/>
    <xf numFmtId="0" fontId="37" fillId="0" borderId="26" applyNumberFormat="0" applyFill="0" applyAlignment="0" applyProtection="0"/>
    <xf numFmtId="0" fontId="9" fillId="4" borderId="0" applyNumberFormat="0" applyBorder="0" applyAlignment="0" applyProtection="0"/>
    <xf numFmtId="0" fontId="38" fillId="57" borderId="0" applyNumberFormat="0" applyBorder="0" applyAlignment="0" applyProtection="0"/>
    <xf numFmtId="0" fontId="21" fillId="0" borderId="0"/>
    <xf numFmtId="0" fontId="21" fillId="0" borderId="0"/>
    <xf numFmtId="0" fontId="39" fillId="0" borderId="0"/>
    <xf numFmtId="0" fontId="22" fillId="0" borderId="0"/>
    <xf numFmtId="0" fontId="19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2" fillId="0" borderId="0"/>
    <xf numFmtId="0" fontId="39" fillId="0" borderId="0"/>
    <xf numFmtId="0" fontId="2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1" fillId="58" borderId="12" applyNumberFormat="0" applyFont="0" applyAlignment="0" applyProtection="0"/>
    <xf numFmtId="0" fontId="11" fillId="6" borderId="5" applyNumberFormat="0" applyAlignment="0" applyProtection="0"/>
    <xf numFmtId="0" fontId="40" fillId="55" borderId="2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2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44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8" fillId="0" borderId="0" applyNumberFormat="0" applyFill="0" applyBorder="0" applyAlignment="0" applyProtection="0"/>
  </cellStyleXfs>
  <cellXfs count="68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0" xfId="0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20" fillId="33" borderId="0" xfId="0" applyFont="1" applyFill="1" applyBorder="1" applyAlignment="1">
      <alignment horizontal="center"/>
    </xf>
    <xf numFmtId="164" fontId="20" fillId="33" borderId="11" xfId="1" applyNumberFormat="1" applyFont="1" applyFill="1" applyBorder="1" applyAlignment="1">
      <alignment horizontal="center"/>
    </xf>
    <xf numFmtId="3" fontId="22" fillId="35" borderId="13" xfId="1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wrapText="1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0" fillId="0" borderId="13" xfId="0" applyBorder="1"/>
    <xf numFmtId="0" fontId="0" fillId="0" borderId="13" xfId="0" applyFill="1" applyBorder="1"/>
    <xf numFmtId="0" fontId="24" fillId="0" borderId="2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0" fillId="0" borderId="18" xfId="0" applyBorder="1"/>
    <xf numFmtId="0" fontId="22" fillId="0" borderId="18" xfId="2470" applyFont="1" applyBorder="1"/>
    <xf numFmtId="0" fontId="22" fillId="0" borderId="0" xfId="2470" applyFont="1"/>
    <xf numFmtId="0" fontId="45" fillId="0" borderId="0" xfId="2470" applyFont="1" applyFill="1" applyBorder="1" applyAlignment="1">
      <alignment horizontal="center"/>
    </xf>
    <xf numFmtId="0" fontId="45" fillId="33" borderId="29" xfId="2470" applyFont="1" applyFill="1" applyBorder="1" applyAlignment="1">
      <alignment horizontal="center"/>
    </xf>
    <xf numFmtId="0" fontId="46" fillId="33" borderId="29" xfId="2470" applyFont="1" applyFill="1" applyBorder="1" applyAlignment="1">
      <alignment horizontal="center"/>
    </xf>
    <xf numFmtId="164" fontId="46" fillId="33" borderId="29" xfId="2977" applyNumberFormat="1" applyFont="1" applyFill="1" applyBorder="1"/>
    <xf numFmtId="165" fontId="47" fillId="33" borderId="29" xfId="2978" applyNumberFormat="1" applyFont="1" applyFill="1" applyBorder="1" applyAlignment="1">
      <alignment horizontal="center"/>
    </xf>
    <xf numFmtId="0" fontId="48" fillId="0" borderId="0" xfId="2470" applyFont="1" applyAlignment="1">
      <alignment horizontal="center"/>
    </xf>
    <xf numFmtId="0" fontId="49" fillId="0" borderId="0" xfId="2470" applyFont="1" applyAlignment="1">
      <alignment horizontal="center"/>
    </xf>
    <xf numFmtId="0" fontId="48" fillId="0" borderId="29" xfId="2470" applyFont="1" applyBorder="1" applyAlignment="1">
      <alignment horizontal="center"/>
    </xf>
    <xf numFmtId="164" fontId="48" fillId="0" borderId="29" xfId="2977" applyNumberFormat="1" applyFont="1" applyBorder="1" applyAlignment="1">
      <alignment horizontal="center"/>
    </xf>
    <xf numFmtId="0" fontId="50" fillId="0" borderId="29" xfId="2470" applyFont="1" applyBorder="1" applyAlignment="1">
      <alignment horizontal="right"/>
    </xf>
    <xf numFmtId="164" fontId="45" fillId="0" borderId="29" xfId="2977" applyNumberFormat="1" applyFont="1" applyBorder="1"/>
    <xf numFmtId="165" fontId="51" fillId="0" borderId="29" xfId="2978" applyNumberFormat="1" applyFont="1" applyBorder="1" applyAlignment="1">
      <alignment horizontal="right"/>
    </xf>
    <xf numFmtId="0" fontId="48" fillId="0" borderId="0" xfId="2470" applyFont="1" applyBorder="1" applyAlignment="1">
      <alignment horizontal="center"/>
    </xf>
    <xf numFmtId="164" fontId="48" fillId="0" borderId="0" xfId="2470" applyNumberFormat="1" applyFont="1" applyBorder="1" applyAlignment="1">
      <alignment horizontal="center"/>
    </xf>
    <xf numFmtId="164" fontId="48" fillId="0" borderId="0" xfId="2977" applyNumberFormat="1" applyFont="1" applyBorder="1" applyAlignment="1">
      <alignment horizontal="center"/>
    </xf>
    <xf numFmtId="0" fontId="48" fillId="0" borderId="0" xfId="2470" applyFont="1"/>
    <xf numFmtId="0" fontId="50" fillId="0" borderId="0" xfId="2470" applyFont="1" applyAlignment="1">
      <alignment horizontal="right"/>
    </xf>
    <xf numFmtId="164" fontId="45" fillId="0" borderId="0" xfId="2977" applyNumberFormat="1" applyFont="1"/>
    <xf numFmtId="165" fontId="51" fillId="0" borderId="0" xfId="2978" applyNumberFormat="1" applyFont="1" applyAlignment="1">
      <alignment horizontal="right"/>
    </xf>
    <xf numFmtId="0" fontId="48" fillId="0" borderId="29" xfId="2470" applyFont="1" applyBorder="1"/>
    <xf numFmtId="164" fontId="48" fillId="0" borderId="29" xfId="2977" applyNumberFormat="1" applyFont="1" applyBorder="1" applyAlignment="1">
      <alignment horizontal="center" vertical="center" wrapText="1"/>
    </xf>
    <xf numFmtId="164" fontId="22" fillId="0" borderId="0" xfId="2977" applyNumberFormat="1" applyFont="1"/>
    <xf numFmtId="164" fontId="48" fillId="0" borderId="0" xfId="2470" applyNumberFormat="1" applyFont="1"/>
    <xf numFmtId="0" fontId="52" fillId="0" borderId="29" xfId="2470" applyFont="1" applyBorder="1" applyAlignment="1">
      <alignment horizontal="right"/>
    </xf>
    <xf numFmtId="166" fontId="52" fillId="0" borderId="29" xfId="2470" applyNumberFormat="1" applyFont="1" applyBorder="1"/>
    <xf numFmtId="165" fontId="53" fillId="0" borderId="0" xfId="2978" applyNumberFormat="1" applyFont="1" applyAlignment="1">
      <alignment horizontal="center"/>
    </xf>
    <xf numFmtId="0" fontId="48" fillId="0" borderId="29" xfId="2470" applyFont="1" applyBorder="1" applyAlignment="1">
      <alignment horizontal="right"/>
    </xf>
    <xf numFmtId="166" fontId="48" fillId="0" borderId="29" xfId="2470" applyNumberFormat="1" applyFont="1" applyBorder="1"/>
    <xf numFmtId="0" fontId="54" fillId="0" borderId="0" xfId="2470" applyFont="1" applyAlignment="1">
      <alignment horizontal="center"/>
    </xf>
    <xf numFmtId="164" fontId="45" fillId="0" borderId="0" xfId="2977" applyNumberFormat="1" applyFont="1" applyBorder="1" applyAlignment="1">
      <alignment horizontal="center" vertical="center" wrapText="1"/>
    </xf>
    <xf numFmtId="164" fontId="22" fillId="0" borderId="0" xfId="2979" applyNumberFormat="1" applyFont="1"/>
    <xf numFmtId="165" fontId="55" fillId="0" borderId="0" xfId="2980" applyNumberFormat="1" applyFont="1" applyAlignment="1">
      <alignment horizontal="right"/>
    </xf>
    <xf numFmtId="164" fontId="56" fillId="0" borderId="0" xfId="2981" applyNumberFormat="1" applyFont="1"/>
    <xf numFmtId="164" fontId="22" fillId="0" borderId="29" xfId="2979" applyNumberFormat="1" applyFont="1" applyBorder="1" applyAlignment="1">
      <alignment horizontal="center"/>
    </xf>
    <xf numFmtId="0" fontId="19" fillId="0" borderId="0" xfId="2470" applyFont="1"/>
    <xf numFmtId="164" fontId="46" fillId="33" borderId="29" xfId="2470" applyNumberFormat="1" applyFont="1" applyFill="1" applyBorder="1"/>
    <xf numFmtId="0" fontId="46" fillId="33" borderId="0" xfId="2470" applyFont="1" applyFill="1" applyAlignment="1">
      <alignment horizontal="center"/>
    </xf>
    <xf numFmtId="0" fontId="46" fillId="33" borderId="29" xfId="2470" applyFont="1" applyFill="1" applyBorder="1"/>
    <xf numFmtId="164" fontId="57" fillId="0" borderId="29" xfId="2977" applyNumberFormat="1" applyFont="1" applyBorder="1" applyAlignment="1">
      <alignment horizontal="center" vertical="center" wrapText="1"/>
    </xf>
    <xf numFmtId="0" fontId="19" fillId="0" borderId="18" xfId="2470" applyBorder="1"/>
    <xf numFmtId="0" fontId="24" fillId="0" borderId="15" xfId="2470" applyFont="1" applyFill="1" applyBorder="1" applyAlignment="1">
      <alignment horizontal="center"/>
    </xf>
    <xf numFmtId="0" fontId="24" fillId="0" borderId="13" xfId="2470" applyFont="1" applyFill="1" applyBorder="1" applyAlignment="1">
      <alignment horizontal="center"/>
    </xf>
    <xf numFmtId="0" fontId="24" fillId="0" borderId="20" xfId="2470" applyFont="1" applyFill="1" applyBorder="1" applyAlignment="1">
      <alignment horizontal="center"/>
    </xf>
    <xf numFmtId="0" fontId="25" fillId="0" borderId="0" xfId="2470" applyFont="1" applyFill="1" applyBorder="1" applyAlignment="1">
      <alignment horizontal="left"/>
    </xf>
    <xf numFmtId="0" fontId="19" fillId="0" borderId="20" xfId="2470" applyBorder="1"/>
    <xf numFmtId="0" fontId="19" fillId="0" borderId="13" xfId="2470" applyBorder="1"/>
    <xf numFmtId="0" fontId="24" fillId="0" borderId="19" xfId="2470" applyFont="1" applyFill="1" applyBorder="1" applyAlignment="1">
      <alignment horizontal="center"/>
    </xf>
    <xf numFmtId="0" fontId="24" fillId="0" borderId="18" xfId="2470" applyFont="1" applyFill="1" applyBorder="1" applyAlignment="1">
      <alignment horizontal="center"/>
    </xf>
    <xf numFmtId="0" fontId="24" fillId="0" borderId="11" xfId="2470" applyFont="1" applyFill="1" applyBorder="1" applyAlignment="1">
      <alignment horizontal="center"/>
    </xf>
    <xf numFmtId="0" fontId="24" fillId="0" borderId="14" xfId="2470" applyFont="1" applyFill="1" applyBorder="1" applyAlignment="1">
      <alignment horizontal="center"/>
    </xf>
    <xf numFmtId="0" fontId="19" fillId="0" borderId="0" xfId="2470" applyBorder="1"/>
    <xf numFmtId="0" fontId="24" fillId="0" borderId="0" xfId="2470" applyFont="1" applyFill="1" applyBorder="1" applyAlignment="1">
      <alignment horizontal="center"/>
    </xf>
    <xf numFmtId="0" fontId="25" fillId="0" borderId="11" xfId="2470" applyFont="1" applyFill="1" applyBorder="1" applyAlignment="1">
      <alignment horizontal="left"/>
    </xf>
    <xf numFmtId="3" fontId="20" fillId="0" borderId="0" xfId="2470" applyNumberFormat="1" applyFont="1" applyFill="1" applyBorder="1" applyAlignment="1">
      <alignment horizontal="center" textRotation="90" wrapText="1"/>
    </xf>
    <xf numFmtId="2" fontId="20" fillId="33" borderId="13" xfId="2470" applyNumberFormat="1" applyFont="1" applyFill="1" applyBorder="1" applyAlignment="1" applyProtection="1">
      <alignment horizontal="center" vertical="center" wrapText="1"/>
    </xf>
    <xf numFmtId="0" fontId="19" fillId="0" borderId="0" xfId="2470"/>
    <xf numFmtId="0" fontId="20" fillId="0" borderId="14" xfId="2470" applyFont="1" applyFill="1" applyBorder="1" applyAlignment="1">
      <alignment horizontal="center"/>
    </xf>
    <xf numFmtId="164" fontId="22" fillId="0" borderId="35" xfId="2979" applyNumberFormat="1" applyFont="1" applyFill="1" applyBorder="1" applyAlignment="1"/>
    <xf numFmtId="164" fontId="22" fillId="0" borderId="29" xfId="2979" applyNumberFormat="1" applyFont="1" applyFill="1" applyBorder="1" applyAlignment="1"/>
    <xf numFmtId="0" fontId="22" fillId="0" borderId="10" xfId="2470" applyFont="1" applyBorder="1"/>
    <xf numFmtId="0" fontId="22" fillId="0" borderId="0" xfId="2470" applyFont="1" applyFill="1" applyBorder="1"/>
    <xf numFmtId="0" fontId="22" fillId="0" borderId="0" xfId="2470" applyFont="1" applyFill="1" applyAlignment="1">
      <alignment horizontal="center"/>
    </xf>
    <xf numFmtId="164" fontId="59" fillId="0" borderId="21" xfId="2470" applyNumberFormat="1" applyFont="1" applyFill="1" applyBorder="1" applyAlignment="1">
      <alignment horizontal="center"/>
    </xf>
    <xf numFmtId="165" fontId="59" fillId="0" borderId="21" xfId="2978" applyNumberFormat="1" applyFont="1" applyFill="1" applyBorder="1" applyAlignment="1">
      <alignment horizontal="center"/>
    </xf>
    <xf numFmtId="0" fontId="61" fillId="0" borderId="10" xfId="2470" applyFont="1" applyBorder="1"/>
    <xf numFmtId="0" fontId="61" fillId="0" borderId="0" xfId="2470" applyFont="1" applyFill="1" applyBorder="1"/>
    <xf numFmtId="164" fontId="60" fillId="0" borderId="39" xfId="2979" applyNumberFormat="1" applyFont="1" applyFill="1" applyBorder="1" applyAlignment="1">
      <alignment horizontal="center"/>
    </xf>
    <xf numFmtId="165" fontId="60" fillId="0" borderId="39" xfId="2978" applyNumberFormat="1" applyFont="1" applyFill="1" applyBorder="1" applyAlignment="1">
      <alignment horizontal="center"/>
    </xf>
    <xf numFmtId="164" fontId="22" fillId="0" borderId="0" xfId="2979" applyNumberFormat="1" applyFont="1" applyFill="1" applyBorder="1"/>
    <xf numFmtId="164" fontId="22" fillId="0" borderId="0" xfId="2979" applyNumberFormat="1" applyFont="1" applyFill="1" applyAlignment="1">
      <alignment horizontal="center"/>
    </xf>
    <xf numFmtId="164" fontId="62" fillId="0" borderId="11" xfId="2979" applyNumberFormat="1" applyFont="1" applyFill="1" applyBorder="1" applyAlignment="1">
      <alignment horizontal="left"/>
    </xf>
    <xf numFmtId="0" fontId="19" fillId="0" borderId="10" xfId="2470" applyBorder="1"/>
    <xf numFmtId="0" fontId="19" fillId="0" borderId="0" xfId="2470" applyFill="1" applyBorder="1"/>
    <xf numFmtId="0" fontId="19" fillId="0" borderId="0" xfId="2470" applyFill="1" applyAlignment="1">
      <alignment horizontal="center"/>
    </xf>
    <xf numFmtId="0" fontId="22" fillId="0" borderId="0" xfId="2470" applyFont="1" applyBorder="1"/>
    <xf numFmtId="0" fontId="24" fillId="0" borderId="40" xfId="2470" applyFont="1" applyFill="1" applyBorder="1" applyAlignment="1">
      <alignment horizontal="center"/>
    </xf>
    <xf numFmtId="2" fontId="20" fillId="0" borderId="11" xfId="2470" applyNumberFormat="1" applyFont="1" applyFill="1" applyBorder="1" applyAlignment="1" applyProtection="1">
      <alignment horizontal="center" vertical="center" wrapText="1"/>
    </xf>
    <xf numFmtId="3" fontId="22" fillId="0" borderId="10" xfId="2470" applyNumberFormat="1" applyFont="1" applyFill="1" applyBorder="1" applyAlignment="1" applyProtection="1">
      <alignment horizontal="right" wrapText="1"/>
    </xf>
    <xf numFmtId="164" fontId="19" fillId="0" borderId="0" xfId="2470" applyNumberFormat="1"/>
    <xf numFmtId="0" fontId="22" fillId="0" borderId="0" xfId="2470" applyFont="1" applyFill="1" applyBorder="1" applyAlignment="1">
      <alignment horizontal="center"/>
    </xf>
    <xf numFmtId="0" fontId="22" fillId="0" borderId="0" xfId="2470" applyFont="1" applyFill="1"/>
    <xf numFmtId="0" fontId="20" fillId="0" borderId="0" xfId="2470" applyFont="1" applyFill="1"/>
    <xf numFmtId="0" fontId="19" fillId="0" borderId="0" xfId="2470" applyFill="1"/>
    <xf numFmtId="0" fontId="22" fillId="0" borderId="0" xfId="0" applyFont="1" applyBorder="1"/>
    <xf numFmtId="0" fontId="24" fillId="0" borderId="19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3" fontId="20" fillId="0" borderId="30" xfId="0" applyNumberFormat="1" applyFont="1" applyFill="1" applyBorder="1" applyAlignment="1">
      <alignment horizontal="center" textRotation="90" wrapText="1"/>
    </xf>
    <xf numFmtId="2" fontId="20" fillId="33" borderId="43" xfId="0" applyNumberFormat="1" applyFont="1" applyFill="1" applyBorder="1" applyAlignment="1" applyProtection="1">
      <alignment horizontal="center" vertical="center" wrapText="1"/>
    </xf>
    <xf numFmtId="2" fontId="20" fillId="33" borderId="33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10" xfId="0" applyFont="1" applyBorder="1"/>
    <xf numFmtId="0" fontId="22" fillId="0" borderId="0" xfId="0" applyFont="1" applyFill="1"/>
    <xf numFmtId="0" fontId="22" fillId="0" borderId="0" xfId="0" applyFont="1"/>
    <xf numFmtId="164" fontId="59" fillId="0" borderId="21" xfId="0" applyNumberFormat="1" applyFont="1" applyFill="1" applyBorder="1" applyAlignment="1">
      <alignment horizontal="center"/>
    </xf>
    <xf numFmtId="0" fontId="20" fillId="0" borderId="0" xfId="0" applyFont="1" applyFill="1"/>
    <xf numFmtId="0" fontId="61" fillId="0" borderId="10" xfId="0" applyFont="1" applyBorder="1"/>
    <xf numFmtId="0" fontId="61" fillId="0" borderId="0" xfId="0" applyFont="1" applyFill="1" applyBorder="1"/>
    <xf numFmtId="164" fontId="22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/>
    <xf numFmtId="0" fontId="24" fillId="0" borderId="33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right" wrapText="1"/>
    </xf>
    <xf numFmtId="0" fontId="22" fillId="0" borderId="13" xfId="2982" applyBorder="1" applyAlignment="1">
      <alignment vertical="center"/>
    </xf>
    <xf numFmtId="3" fontId="20" fillId="33" borderId="13" xfId="0" applyNumberFormat="1" applyFont="1" applyFill="1" applyBorder="1" applyAlignment="1">
      <alignment horizontal="center" textRotation="90" wrapText="1"/>
    </xf>
    <xf numFmtId="0" fontId="22" fillId="59" borderId="13" xfId="2982" applyNumberFormat="1" applyFont="1" applyFill="1" applyBorder="1" applyAlignment="1">
      <alignment horizontal="center" vertical="center" wrapText="1"/>
    </xf>
    <xf numFmtId="0" fontId="22" fillId="59" borderId="14" xfId="2982" applyNumberFormat="1" applyFont="1" applyFill="1" applyBorder="1" applyAlignment="1">
      <alignment horizontal="center" vertical="center" wrapText="1"/>
    </xf>
    <xf numFmtId="0" fontId="22" fillId="0" borderId="13" xfId="2982" applyNumberFormat="1" applyFont="1" applyBorder="1" applyAlignment="1">
      <alignment vertical="center"/>
    </xf>
    <xf numFmtId="0" fontId="22" fillId="34" borderId="46" xfId="2982" applyNumberFormat="1" applyFont="1" applyFill="1" applyBorder="1" applyAlignment="1">
      <alignment horizontal="center" vertical="center" wrapText="1"/>
    </xf>
    <xf numFmtId="0" fontId="22" fillId="34" borderId="20" xfId="2982" applyNumberFormat="1" applyFont="1" applyFill="1" applyBorder="1" applyAlignment="1">
      <alignment horizontal="center" vertical="center" wrapText="1"/>
    </xf>
    <xf numFmtId="0" fontId="22" fillId="34" borderId="32" xfId="2979" applyNumberFormat="1" applyFont="1" applyFill="1" applyBorder="1" applyAlignment="1">
      <alignment horizontal="center" vertical="center" wrapText="1"/>
    </xf>
    <xf numFmtId="0" fontId="22" fillId="60" borderId="15" xfId="2982" applyNumberFormat="1" applyFont="1" applyFill="1" applyBorder="1" applyAlignment="1">
      <alignment horizontal="center" vertical="center" wrapText="1"/>
    </xf>
    <xf numFmtId="0" fontId="22" fillId="60" borderId="13" xfId="2982" applyNumberFormat="1" applyFont="1" applyFill="1" applyBorder="1" applyAlignment="1">
      <alignment horizontal="center" vertical="center" wrapText="1"/>
    </xf>
    <xf numFmtId="0" fontId="22" fillId="60" borderId="14" xfId="2979" applyNumberFormat="1" applyFont="1" applyFill="1" applyBorder="1" applyAlignment="1">
      <alignment horizontal="center" vertical="center" wrapText="1"/>
    </xf>
    <xf numFmtId="166" fontId="22" fillId="59" borderId="14" xfId="2979" applyNumberFormat="1" applyFont="1" applyFill="1" applyBorder="1" applyAlignment="1">
      <alignment vertical="center"/>
    </xf>
    <xf numFmtId="43" fontId="22" fillId="0" borderId="13" xfId="2979" applyFont="1" applyBorder="1" applyAlignment="1">
      <alignment vertical="center"/>
    </xf>
    <xf numFmtId="164" fontId="22" fillId="34" borderId="19" xfId="2979" applyNumberFormat="1" applyFont="1" applyFill="1" applyBorder="1" applyAlignment="1">
      <alignment horizontal="center" vertical="center"/>
    </xf>
    <xf numFmtId="166" fontId="22" fillId="34" borderId="18" xfId="2979" applyNumberFormat="1" applyFont="1" applyFill="1" applyBorder="1" applyAlignment="1">
      <alignment horizontal="center" vertical="center"/>
    </xf>
    <xf numFmtId="164" fontId="22" fillId="60" borderId="15" xfId="2979" applyNumberFormat="1" applyFont="1" applyFill="1" applyBorder="1" applyAlignment="1">
      <alignment vertical="center"/>
    </xf>
    <xf numFmtId="166" fontId="22" fillId="60" borderId="13" xfId="2979" applyNumberFormat="1" applyFont="1" applyFill="1" applyBorder="1" applyAlignment="1">
      <alignment vertical="center"/>
    </xf>
    <xf numFmtId="166" fontId="22" fillId="60" borderId="14" xfId="2979" applyNumberFormat="1" applyFont="1" applyFill="1" applyBorder="1" applyAlignment="1">
      <alignment vertical="center"/>
    </xf>
    <xf numFmtId="164" fontId="22" fillId="34" borderId="15" xfId="2979" applyNumberFormat="1" applyFont="1" applyFill="1" applyBorder="1" applyAlignment="1">
      <alignment horizontal="center" vertical="center"/>
    </xf>
    <xf numFmtId="43" fontId="22" fillId="0" borderId="13" xfId="2979" applyFont="1" applyFill="1" applyBorder="1" applyAlignment="1">
      <alignment vertical="center"/>
    </xf>
    <xf numFmtId="166" fontId="22" fillId="34" borderId="17" xfId="2979" applyNumberFormat="1" applyFont="1" applyFill="1" applyBorder="1" applyAlignment="1">
      <alignment horizontal="center" vertical="center"/>
    </xf>
    <xf numFmtId="43" fontId="61" fillId="0" borderId="13" xfId="2979" applyFont="1" applyFill="1" applyBorder="1" applyAlignment="1">
      <alignment horizontal="center" vertical="center"/>
    </xf>
    <xf numFmtId="43" fontId="22" fillId="0" borderId="13" xfId="2979" applyFont="1" applyBorder="1" applyAlignment="1">
      <alignment horizontal="center" vertical="center"/>
    </xf>
    <xf numFmtId="43" fontId="22" fillId="0" borderId="13" xfId="2979" applyFont="1" applyFill="1" applyBorder="1" applyAlignment="1">
      <alignment horizontal="center" vertical="center"/>
    </xf>
    <xf numFmtId="164" fontId="22" fillId="60" borderId="15" xfId="2979" applyNumberFormat="1" applyFont="1" applyFill="1" applyBorder="1" applyAlignment="1">
      <alignment horizontal="center" vertical="center"/>
    </xf>
    <xf numFmtId="43" fontId="19" fillId="0" borderId="13" xfId="2979" applyFont="1" applyBorder="1" applyAlignment="1">
      <alignment horizontal="center" vertical="center"/>
    </xf>
    <xf numFmtId="43" fontId="19" fillId="0" borderId="13" xfId="2979" applyFont="1" applyBorder="1" applyAlignment="1">
      <alignment vertical="center"/>
    </xf>
    <xf numFmtId="164" fontId="22" fillId="59" borderId="15" xfId="2979" applyNumberFormat="1" applyFont="1" applyFill="1" applyBorder="1" applyAlignment="1">
      <alignment vertical="center"/>
    </xf>
    <xf numFmtId="43" fontId="22" fillId="0" borderId="14" xfId="2979" applyFont="1" applyFill="1" applyBorder="1" applyAlignment="1">
      <alignment vertical="center"/>
    </xf>
    <xf numFmtId="3" fontId="63" fillId="34" borderId="15" xfId="2982" applyNumberFormat="1" applyFont="1" applyFill="1" applyBorder="1" applyAlignment="1">
      <alignment horizontal="center" vertical="center"/>
    </xf>
    <xf numFmtId="3" fontId="63" fillId="60" borderId="15" xfId="2982" applyNumberFormat="1" applyFont="1" applyFill="1" applyBorder="1" applyAlignment="1">
      <alignment vertical="center"/>
    </xf>
    <xf numFmtId="166" fontId="20" fillId="33" borderId="0" xfId="0" applyNumberFormat="1" applyFont="1" applyFill="1" applyAlignment="1">
      <alignment horizontal="center"/>
    </xf>
    <xf numFmtId="166" fontId="0" fillId="0" borderId="10" xfId="0" applyNumberFormat="1" applyBorder="1"/>
    <xf numFmtId="166" fontId="20" fillId="59" borderId="13" xfId="2979" applyNumberFormat="1" applyFont="1" applyFill="1" applyBorder="1" applyAlignment="1">
      <alignment vertical="center"/>
    </xf>
    <xf numFmtId="166" fontId="22" fillId="0" borderId="13" xfId="2982" applyNumberFormat="1" applyBorder="1" applyAlignment="1">
      <alignment vertical="center"/>
    </xf>
    <xf numFmtId="166" fontId="22" fillId="0" borderId="15" xfId="2982" applyNumberFormat="1" applyFont="1" applyFill="1" applyBorder="1" applyAlignment="1">
      <alignment horizontal="center" vertical="center"/>
    </xf>
    <xf numFmtId="166" fontId="20" fillId="34" borderId="14" xfId="2979" applyNumberFormat="1" applyFont="1" applyFill="1" applyBorder="1" applyAlignment="1">
      <alignment vertical="center"/>
    </xf>
    <xf numFmtId="166" fontId="22" fillId="0" borderId="15" xfId="2982" applyNumberFormat="1" applyFont="1" applyFill="1" applyBorder="1" applyAlignment="1">
      <alignment vertical="center"/>
    </xf>
    <xf numFmtId="166" fontId="20" fillId="60" borderId="14" xfId="2979" applyNumberFormat="1" applyFont="1" applyFill="1" applyBorder="1" applyAlignment="1">
      <alignment vertical="center"/>
    </xf>
    <xf numFmtId="166" fontId="64" fillId="0" borderId="0" xfId="0" applyNumberFormat="1" applyFont="1" applyAlignment="1">
      <alignment horizontal="right"/>
    </xf>
    <xf numFmtId="166" fontId="61" fillId="0" borderId="10" xfId="0" applyNumberFormat="1" applyFont="1" applyBorder="1"/>
    <xf numFmtId="166" fontId="61" fillId="0" borderId="18" xfId="2979" applyNumberFormat="1" applyFont="1" applyBorder="1"/>
    <xf numFmtId="164" fontId="65" fillId="34" borderId="19" xfId="2979" applyNumberFormat="1" applyFont="1" applyFill="1" applyBorder="1" applyAlignment="1">
      <alignment horizontal="center"/>
    </xf>
    <xf numFmtId="164" fontId="65" fillId="60" borderId="15" xfId="2979" applyNumberFormat="1" applyFont="1" applyFill="1" applyBorder="1"/>
    <xf numFmtId="166" fontId="61" fillId="0" borderId="13" xfId="2979" applyNumberFormat="1" applyFont="1" applyBorder="1"/>
    <xf numFmtId="164" fontId="65" fillId="34" borderId="15" xfId="2979" applyNumberFormat="1" applyFont="1" applyFill="1" applyBorder="1" applyAlignment="1">
      <alignment horizontal="center"/>
    </xf>
    <xf numFmtId="164" fontId="65" fillId="34" borderId="46" xfId="2979" applyNumberFormat="1" applyFont="1" applyFill="1" applyBorder="1" applyAlignment="1">
      <alignment horizontal="center"/>
    </xf>
    <xf numFmtId="164" fontId="65" fillId="60" borderId="46" xfId="2979" applyNumberFormat="1" applyFont="1" applyFill="1" applyBorder="1"/>
    <xf numFmtId="166" fontId="61" fillId="0" borderId="33" xfId="2979" applyNumberFormat="1" applyFont="1" applyBorder="1"/>
    <xf numFmtId="0" fontId="0" fillId="0" borderId="33" xfId="0" applyBorder="1"/>
    <xf numFmtId="0" fontId="0" fillId="0" borderId="0" xfId="0" applyAlignment="1">
      <alignment horizontal="center"/>
    </xf>
    <xf numFmtId="0" fontId="66" fillId="0" borderId="0" xfId="0" applyFont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2470" applyFont="1" applyFill="1" applyBorder="1" applyAlignment="1">
      <alignment horizontal="center" vertical="center"/>
    </xf>
    <xf numFmtId="0" fontId="20" fillId="0" borderId="11" xfId="2470" applyFont="1" applyBorder="1" applyAlignment="1">
      <alignment horizontal="center" vertical="center"/>
    </xf>
    <xf numFmtId="0" fontId="20" fillId="59" borderId="13" xfId="2982" applyNumberFormat="1" applyFont="1" applyFill="1" applyBorder="1" applyAlignment="1">
      <alignment horizontal="center" vertical="center" wrapText="1"/>
    </xf>
    <xf numFmtId="0" fontId="20" fillId="34" borderId="20" xfId="2982" applyNumberFormat="1" applyFont="1" applyFill="1" applyBorder="1" applyAlignment="1">
      <alignment horizontal="center" vertical="center" wrapText="1"/>
    </xf>
    <xf numFmtId="2" fontId="20" fillId="60" borderId="20" xfId="2470" applyNumberFormat="1" applyFont="1" applyFill="1" applyBorder="1" applyAlignment="1" applyProtection="1">
      <alignment horizontal="center" vertical="center" wrapText="1"/>
    </xf>
    <xf numFmtId="2" fontId="20" fillId="60" borderId="32" xfId="2470" applyNumberFormat="1" applyFont="1" applyFill="1" applyBorder="1" applyAlignment="1" applyProtection="1">
      <alignment horizontal="center" vertical="center" wrapText="1"/>
    </xf>
    <xf numFmtId="0" fontId="19" fillId="0" borderId="10" xfId="2470" applyBorder="1" applyAlignment="1">
      <alignment horizontal="center"/>
    </xf>
    <xf numFmtId="0" fontId="22" fillId="59" borderId="15" xfId="2470" applyFont="1" applyFill="1" applyBorder="1" applyAlignment="1">
      <alignment horizontal="center"/>
    </xf>
    <xf numFmtId="0" fontId="22" fillId="59" borderId="14" xfId="2470" applyFont="1" applyFill="1" applyBorder="1" applyAlignment="1">
      <alignment horizontal="center"/>
    </xf>
    <xf numFmtId="0" fontId="22" fillId="34" borderId="13" xfId="2470" applyFont="1" applyFill="1" applyBorder="1" applyAlignment="1">
      <alignment horizontal="center"/>
    </xf>
    <xf numFmtId="0" fontId="22" fillId="60" borderId="13" xfId="2470" applyFont="1" applyFill="1" applyBorder="1" applyAlignment="1">
      <alignment horizontal="center"/>
    </xf>
    <xf numFmtId="43" fontId="22" fillId="60" borderId="13" xfId="2979" applyFont="1" applyFill="1" applyBorder="1" applyAlignment="1">
      <alignment horizontal="center" wrapText="1"/>
    </xf>
    <xf numFmtId="0" fontId="19" fillId="36" borderId="10" xfId="2470" applyFill="1" applyBorder="1" applyAlignment="1">
      <alignment horizontal="center"/>
    </xf>
    <xf numFmtId="43" fontId="0" fillId="0" borderId="0" xfId="2979" applyNumberFormat="1" applyFont="1"/>
    <xf numFmtId="0" fontId="22" fillId="0" borderId="0" xfId="0" applyFont="1" applyAlignment="1">
      <alignment horizontal="center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3" fontId="20" fillId="33" borderId="18" xfId="0" applyNumberFormat="1" applyFont="1" applyFill="1" applyBorder="1" applyAlignment="1">
      <alignment horizontal="center" vertical="center" textRotation="90" wrapText="1"/>
    </xf>
    <xf numFmtId="43" fontId="67" fillId="61" borderId="18" xfId="2979" applyNumberFormat="1" applyFont="1" applyFill="1" applyBorder="1" applyAlignment="1">
      <alignment horizontal="center" vertical="center" wrapText="1"/>
    </xf>
    <xf numFmtId="43" fontId="20" fillId="61" borderId="0" xfId="2979" applyNumberFormat="1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/>
    </xf>
    <xf numFmtId="0" fontId="22" fillId="62" borderId="18" xfId="0" applyFont="1" applyFill="1" applyBorder="1" applyAlignment="1"/>
    <xf numFmtId="0" fontId="20" fillId="33" borderId="17" xfId="0" applyFont="1" applyFill="1" applyBorder="1" applyAlignment="1">
      <alignment horizontal="center"/>
    </xf>
    <xf numFmtId="164" fontId="68" fillId="0" borderId="0" xfId="2979" applyNumberFormat="1" applyFont="1" applyFill="1" applyBorder="1" applyAlignment="1">
      <alignment horizontal="center" vertical="center"/>
    </xf>
    <xf numFmtId="164" fontId="20" fillId="33" borderId="33" xfId="2979" applyNumberFormat="1" applyFont="1" applyFill="1" applyBorder="1"/>
    <xf numFmtId="9" fontId="20" fillId="33" borderId="0" xfId="2978" applyNumberFormat="1" applyFont="1" applyFill="1" applyBorder="1" applyAlignment="1">
      <alignment horizontal="center"/>
    </xf>
    <xf numFmtId="0" fontId="67" fillId="61" borderId="18" xfId="2979" applyNumberFormat="1" applyFont="1" applyFill="1" applyBorder="1" applyAlignment="1">
      <alignment horizontal="center" vertical="center" wrapText="1"/>
    </xf>
    <xf numFmtId="9" fontId="22" fillId="0" borderId="0" xfId="2978" applyNumberFormat="1" applyFont="1" applyFill="1" applyBorder="1" applyAlignment="1">
      <alignment horizontal="center"/>
    </xf>
    <xf numFmtId="0" fontId="25" fillId="0" borderId="11" xfId="2470" applyFont="1" applyFill="1" applyBorder="1" applyAlignment="1">
      <alignment horizontal="left"/>
    </xf>
    <xf numFmtId="164" fontId="22" fillId="0" borderId="35" xfId="2317" applyNumberFormat="1" applyFont="1" applyFill="1" applyBorder="1" applyAlignment="1"/>
    <xf numFmtId="165" fontId="22" fillId="0" borderId="29" xfId="2836" applyNumberFormat="1" applyFont="1" applyFill="1" applyBorder="1" applyAlignment="1">
      <alignment horizontal="center"/>
    </xf>
    <xf numFmtId="164" fontId="69" fillId="0" borderId="0" xfId="1" applyNumberFormat="1" applyFont="1" applyBorder="1" applyAlignment="1">
      <alignment horizontal="center" vertical="center" wrapText="1"/>
    </xf>
    <xf numFmtId="164" fontId="70" fillId="59" borderId="18" xfId="2979" applyNumberFormat="1" applyFont="1" applyFill="1" applyBorder="1"/>
    <xf numFmtId="0" fontId="56" fillId="0" borderId="47" xfId="0" applyFont="1" applyBorder="1" applyAlignment="1">
      <alignment horizontal="center"/>
    </xf>
    <xf numFmtId="44" fontId="22" fillId="0" borderId="0" xfId="2983" applyFont="1"/>
    <xf numFmtId="44" fontId="22" fillId="0" borderId="0" xfId="2470" applyNumberFormat="1" applyFont="1"/>
    <xf numFmtId="164" fontId="22" fillId="0" borderId="0" xfId="0" applyNumberFormat="1" applyFont="1"/>
    <xf numFmtId="0" fontId="22" fillId="63" borderId="0" xfId="0" applyFont="1" applyFill="1" applyBorder="1"/>
    <xf numFmtId="164" fontId="59" fillId="63" borderId="21" xfId="0" applyNumberFormat="1" applyFont="1" applyFill="1" applyBorder="1" applyAlignment="1">
      <alignment horizontal="center"/>
    </xf>
    <xf numFmtId="0" fontId="25" fillId="63" borderId="11" xfId="0" applyFont="1" applyFill="1" applyBorder="1" applyAlignment="1">
      <alignment horizontal="left"/>
    </xf>
    <xf numFmtId="165" fontId="59" fillId="63" borderId="21" xfId="2978" applyNumberFormat="1" applyFont="1" applyFill="1" applyBorder="1" applyAlignment="1">
      <alignment horizontal="center"/>
    </xf>
    <xf numFmtId="0" fontId="22" fillId="63" borderId="0" xfId="0" applyFont="1" applyFill="1"/>
    <xf numFmtId="0" fontId="61" fillId="63" borderId="0" xfId="0" applyFont="1" applyFill="1" applyBorder="1"/>
    <xf numFmtId="164" fontId="60" fillId="63" borderId="39" xfId="2979" applyNumberFormat="1" applyFont="1" applyFill="1" applyBorder="1" applyAlignment="1">
      <alignment horizontal="center"/>
    </xf>
    <xf numFmtId="165" fontId="60" fillId="63" borderId="39" xfId="2978" applyNumberFormat="1" applyFont="1" applyFill="1" applyBorder="1" applyAlignment="1">
      <alignment horizontal="center"/>
    </xf>
    <xf numFmtId="0" fontId="22" fillId="64" borderId="0" xfId="2470" applyFont="1" applyFill="1" applyBorder="1"/>
    <xf numFmtId="164" fontId="59" fillId="64" borderId="21" xfId="2470" applyNumberFormat="1" applyFont="1" applyFill="1" applyBorder="1" applyAlignment="1">
      <alignment horizontal="center"/>
    </xf>
    <xf numFmtId="0" fontId="25" fillId="64" borderId="11" xfId="2470" applyFont="1" applyFill="1" applyBorder="1" applyAlignment="1">
      <alignment horizontal="left"/>
    </xf>
    <xf numFmtId="165" fontId="59" fillId="64" borderId="21" xfId="2978" applyNumberFormat="1" applyFont="1" applyFill="1" applyBorder="1" applyAlignment="1">
      <alignment horizontal="center"/>
    </xf>
    <xf numFmtId="0" fontId="22" fillId="64" borderId="0" xfId="2470" applyFont="1" applyFill="1"/>
    <xf numFmtId="0" fontId="61" fillId="64" borderId="0" xfId="2470" applyFont="1" applyFill="1" applyBorder="1"/>
    <xf numFmtId="164" fontId="60" fillId="64" borderId="39" xfId="2979" applyNumberFormat="1" applyFont="1" applyFill="1" applyBorder="1" applyAlignment="1">
      <alignment horizontal="center"/>
    </xf>
    <xf numFmtId="165" fontId="60" fillId="64" borderId="39" xfId="2978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9" fontId="22" fillId="0" borderId="0" xfId="2984" applyFont="1" applyFill="1" applyAlignment="1">
      <alignment horizontal="center"/>
    </xf>
    <xf numFmtId="0" fontId="22" fillId="65" borderId="0" xfId="0" applyFont="1" applyFill="1"/>
    <xf numFmtId="0" fontId="22" fillId="65" borderId="0" xfId="0" applyFont="1" applyFill="1" applyBorder="1"/>
    <xf numFmtId="164" fontId="59" fillId="65" borderId="21" xfId="0" applyNumberFormat="1" applyFont="1" applyFill="1" applyBorder="1" applyAlignment="1">
      <alignment horizontal="center"/>
    </xf>
    <xf numFmtId="0" fontId="25" fillId="65" borderId="11" xfId="0" applyFont="1" applyFill="1" applyBorder="1" applyAlignment="1">
      <alignment horizontal="left"/>
    </xf>
    <xf numFmtId="165" fontId="59" fillId="65" borderId="21" xfId="2978" applyNumberFormat="1" applyFont="1" applyFill="1" applyBorder="1" applyAlignment="1">
      <alignment horizontal="center"/>
    </xf>
    <xf numFmtId="0" fontId="61" fillId="65" borderId="0" xfId="0" applyFont="1" applyFill="1" applyBorder="1"/>
    <xf numFmtId="164" fontId="60" fillId="65" borderId="39" xfId="2979" applyNumberFormat="1" applyFont="1" applyFill="1" applyBorder="1" applyAlignment="1">
      <alignment horizontal="center"/>
    </xf>
    <xf numFmtId="165" fontId="60" fillId="65" borderId="39" xfId="2978" applyNumberFormat="1" applyFont="1" applyFill="1" applyBorder="1" applyAlignment="1">
      <alignment horizontal="center"/>
    </xf>
    <xf numFmtId="165" fontId="22" fillId="0" borderId="0" xfId="2984" applyNumberFormat="1" applyFont="1" applyFill="1" applyAlignment="1">
      <alignment horizontal="center"/>
    </xf>
    <xf numFmtId="9" fontId="22" fillId="0" borderId="0" xfId="2984" applyNumberFormat="1" applyFont="1" applyFill="1" applyAlignment="1">
      <alignment horizontal="center"/>
    </xf>
    <xf numFmtId="0" fontId="20" fillId="64" borderId="0" xfId="2470" applyFont="1" applyFill="1"/>
    <xf numFmtId="164" fontId="59" fillId="64" borderId="21" xfId="0" applyNumberFormat="1" applyFont="1" applyFill="1" applyBorder="1" applyAlignment="1">
      <alignment horizontal="center"/>
    </xf>
    <xf numFmtId="0" fontId="20" fillId="64" borderId="0" xfId="0" applyFont="1" applyFill="1"/>
    <xf numFmtId="0" fontId="22" fillId="64" borderId="0" xfId="0" applyFont="1" applyFill="1"/>
    <xf numFmtId="0" fontId="20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2" fillId="0" borderId="13" xfId="0" applyFont="1" applyBorder="1"/>
    <xf numFmtId="0" fontId="22" fillId="0" borderId="14" xfId="0" applyFont="1" applyBorder="1"/>
    <xf numFmtId="0" fontId="22" fillId="0" borderId="15" xfId="0" applyFont="1" applyBorder="1"/>
    <xf numFmtId="164" fontId="46" fillId="0" borderId="29" xfId="2977" applyNumberFormat="1" applyFont="1" applyBorder="1" applyAlignment="1">
      <alignment horizontal="center" vertical="center" wrapText="1"/>
    </xf>
    <xf numFmtId="43" fontId="19" fillId="0" borderId="0" xfId="2470" applyNumberFormat="1" applyFill="1" applyAlignment="1">
      <alignment horizontal="center"/>
    </xf>
    <xf numFmtId="165" fontId="19" fillId="0" borderId="0" xfId="2984" applyNumberFormat="1" applyFont="1" applyFill="1" applyAlignment="1">
      <alignment horizontal="center"/>
    </xf>
    <xf numFmtId="2" fontId="22" fillId="0" borderId="0" xfId="2470" applyNumberFormat="1" applyFont="1"/>
    <xf numFmtId="2" fontId="20" fillId="60" borderId="48" xfId="0" applyNumberFormat="1" applyFont="1" applyFill="1" applyBorder="1" applyAlignment="1" applyProtection="1">
      <alignment horizontal="center" vertical="center" wrapText="1"/>
    </xf>
    <xf numFmtId="0" fontId="20" fillId="67" borderId="48" xfId="0" applyFont="1" applyFill="1" applyBorder="1" applyAlignment="1">
      <alignment horizontal="center" vertical="center" wrapText="1"/>
    </xf>
    <xf numFmtId="2" fontId="20" fillId="34" borderId="48" xfId="0" applyNumberFormat="1" applyFont="1" applyFill="1" applyBorder="1" applyAlignment="1" applyProtection="1">
      <alignment horizontal="center" vertical="center" wrapText="1"/>
    </xf>
    <xf numFmtId="164" fontId="22" fillId="60" borderId="49" xfId="2249" applyNumberFormat="1" applyFont="1" applyFill="1" applyBorder="1" applyAlignment="1" applyProtection="1">
      <alignment horizontal="right" vertical="center" wrapText="1"/>
    </xf>
    <xf numFmtId="164" fontId="22" fillId="67" borderId="50" xfId="2249" applyNumberFormat="1" applyFont="1" applyFill="1" applyBorder="1" applyAlignment="1">
      <alignment vertical="center"/>
    </xf>
    <xf numFmtId="164" fontId="22" fillId="34" borderId="50" xfId="2249" applyNumberFormat="1" applyFont="1" applyFill="1" applyBorder="1" applyAlignment="1">
      <alignment vertical="center"/>
    </xf>
    <xf numFmtId="164" fontId="22" fillId="60" borderId="51" xfId="2249" applyNumberFormat="1" applyFont="1" applyFill="1" applyBorder="1" applyAlignment="1" applyProtection="1">
      <alignment horizontal="right" vertical="center" wrapText="1"/>
    </xf>
    <xf numFmtId="164" fontId="22" fillId="67" borderId="52" xfId="2249" applyNumberFormat="1" applyFont="1" applyFill="1" applyBorder="1" applyAlignment="1">
      <alignment vertical="center"/>
    </xf>
    <xf numFmtId="164" fontId="22" fillId="34" borderId="52" xfId="2249" applyNumberFormat="1" applyFont="1" applyFill="1" applyBorder="1" applyAlignment="1">
      <alignment vertical="center"/>
    </xf>
    <xf numFmtId="3" fontId="20" fillId="60" borderId="53" xfId="0" applyNumberFormat="1" applyFont="1" applyFill="1" applyBorder="1" applyAlignment="1">
      <alignment horizontal="center" vertical="center"/>
    </xf>
    <xf numFmtId="3" fontId="20" fillId="34" borderId="53" xfId="0" applyNumberFormat="1" applyFont="1" applyFill="1" applyBorder="1" applyAlignment="1">
      <alignment horizontal="center" vertical="center"/>
    </xf>
    <xf numFmtId="164" fontId="73" fillId="60" borderId="48" xfId="2249" applyNumberFormat="1" applyFont="1" applyFill="1" applyBorder="1" applyAlignment="1">
      <alignment horizontal="center" vertical="center"/>
    </xf>
    <xf numFmtId="164" fontId="73" fillId="67" borderId="48" xfId="2249" applyNumberFormat="1" applyFont="1" applyFill="1" applyBorder="1" applyAlignment="1">
      <alignment horizontal="center" vertical="center"/>
    </xf>
    <xf numFmtId="164" fontId="73" fillId="34" borderId="48" xfId="2249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6" fontId="64" fillId="0" borderId="0" xfId="0" applyNumberFormat="1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20" fillId="0" borderId="0" xfId="2804" applyNumberFormat="1" applyFont="1" applyFill="1" applyBorder="1" applyAlignment="1">
      <alignment horizontal="center" vertical="center" textRotation="90" wrapText="1"/>
    </xf>
    <xf numFmtId="0" fontId="22" fillId="0" borderId="0" xfId="2804" applyFont="1" applyFill="1" applyBorder="1" applyAlignment="1">
      <alignment horizontal="center"/>
    </xf>
    <xf numFmtId="0" fontId="74" fillId="0" borderId="0" xfId="2804" applyFont="1" applyFill="1"/>
    <xf numFmtId="166" fontId="22" fillId="0" borderId="10" xfId="2982" applyNumberFormat="1" applyFont="1" applyFill="1" applyBorder="1" applyAlignment="1">
      <alignment horizontal="center" vertical="center"/>
    </xf>
    <xf numFmtId="164" fontId="22" fillId="34" borderId="0" xfId="2249" applyNumberFormat="1" applyFont="1" applyFill="1" applyBorder="1" applyAlignment="1">
      <alignment vertical="center"/>
    </xf>
    <xf numFmtId="164" fontId="22" fillId="33" borderId="11" xfId="1" applyNumberFormat="1" applyFont="1" applyFill="1" applyBorder="1" applyAlignment="1">
      <alignment horizontal="center"/>
    </xf>
    <xf numFmtId="0" fontId="25" fillId="0" borderId="11" xfId="0" applyFont="1" applyFill="1" applyBorder="1" applyAlignment="1"/>
    <xf numFmtId="0" fontId="25" fillId="0" borderId="19" xfId="0" applyFont="1" applyFill="1" applyBorder="1" applyAlignment="1"/>
    <xf numFmtId="0" fontId="0" fillId="68" borderId="0" xfId="0" applyFill="1" applyAlignment="1"/>
    <xf numFmtId="166" fontId="22" fillId="0" borderId="10" xfId="2982" applyNumberFormat="1" applyBorder="1" applyAlignment="1">
      <alignment vertical="center"/>
    </xf>
    <xf numFmtId="0" fontId="20" fillId="60" borderId="18" xfId="2982" applyFont="1" applyFill="1" applyBorder="1" applyAlignment="1">
      <alignment vertical="center"/>
    </xf>
    <xf numFmtId="0" fontId="20" fillId="60" borderId="17" xfId="2982" applyFont="1" applyFill="1" applyBorder="1" applyAlignment="1">
      <alignment vertical="center"/>
    </xf>
    <xf numFmtId="166" fontId="22" fillId="68" borderId="0" xfId="0" applyNumberFormat="1" applyFont="1" applyFill="1" applyAlignment="1"/>
    <xf numFmtId="0" fontId="22" fillId="68" borderId="0" xfId="0" applyFont="1" applyFill="1" applyAlignment="1"/>
    <xf numFmtId="0" fontId="24" fillId="0" borderId="14" xfId="0" applyFont="1" applyFill="1" applyBorder="1" applyAlignment="1">
      <alignment horizontal="center"/>
    </xf>
    <xf numFmtId="0" fontId="22" fillId="59" borderId="15" xfId="2982" applyNumberFormat="1" applyFont="1" applyFill="1" applyBorder="1" applyAlignment="1">
      <alignment horizontal="center" vertical="center" wrapText="1"/>
    </xf>
    <xf numFmtId="164" fontId="22" fillId="59" borderId="15" xfId="2979" applyNumberFormat="1" applyFont="1" applyFill="1" applyBorder="1" applyAlignment="1">
      <alignment horizontal="center" vertical="center"/>
    </xf>
    <xf numFmtId="164" fontId="61" fillId="59" borderId="15" xfId="2979" applyNumberFormat="1" applyFont="1" applyFill="1" applyBorder="1" applyAlignment="1">
      <alignment horizontal="center" vertical="center"/>
    </xf>
    <xf numFmtId="0" fontId="0" fillId="68" borderId="0" xfId="0" applyFill="1" applyBorder="1" applyAlignment="1"/>
    <xf numFmtId="3" fontId="63" fillId="59" borderId="15" xfId="2982" applyNumberFormat="1" applyFont="1" applyFill="1" applyBorder="1" applyAlignment="1">
      <alignment vertical="center"/>
    </xf>
    <xf numFmtId="0" fontId="22" fillId="68" borderId="0" xfId="0" applyFont="1" applyFill="1" applyBorder="1" applyAlignment="1"/>
    <xf numFmtId="166" fontId="22" fillId="68" borderId="0" xfId="0" applyNumberFormat="1" applyFont="1" applyFill="1" applyBorder="1" applyAlignment="1"/>
    <xf numFmtId="164" fontId="70" fillId="59" borderId="19" xfId="2979" applyNumberFormat="1" applyFont="1" applyFill="1" applyBorder="1"/>
    <xf numFmtId="0" fontId="20" fillId="63" borderId="0" xfId="0" applyFont="1" applyFill="1"/>
    <xf numFmtId="0" fontId="0" fillId="63" borderId="0" xfId="0" applyFill="1"/>
    <xf numFmtId="0" fontId="0" fillId="63" borderId="0" xfId="0" applyFill="1" applyAlignment="1">
      <alignment horizontal="center"/>
    </xf>
    <xf numFmtId="0" fontId="20" fillId="64" borderId="0" xfId="2470" applyFont="1" applyFill="1" applyAlignment="1">
      <alignment horizontal="center"/>
    </xf>
    <xf numFmtId="0" fontId="20" fillId="63" borderId="0" xfId="0" applyFont="1" applyFill="1" applyAlignment="1">
      <alignment horizontal="center"/>
    </xf>
    <xf numFmtId="0" fontId="22" fillId="33" borderId="63" xfId="0" applyFont="1" applyFill="1" applyBorder="1" applyAlignment="1"/>
    <xf numFmtId="0" fontId="22" fillId="33" borderId="63" xfId="0" applyFont="1" applyFill="1" applyBorder="1" applyAlignment="1">
      <alignment horizontal="right"/>
    </xf>
    <xf numFmtId="0" fontId="22" fillId="0" borderId="14" xfId="0" applyFont="1" applyBorder="1" applyAlignment="1">
      <alignment horizontal="center"/>
    </xf>
    <xf numFmtId="43" fontId="20" fillId="61" borderId="16" xfId="2979" applyFont="1" applyFill="1" applyBorder="1" applyAlignment="1">
      <alignment horizontal="center" vertical="center" wrapText="1"/>
    </xf>
    <xf numFmtId="0" fontId="25" fillId="0" borderId="30" xfId="0" applyFont="1" applyFill="1" applyBorder="1" applyAlignment="1"/>
    <xf numFmtId="0" fontId="0" fillId="0" borderId="18" xfId="0" applyFill="1" applyBorder="1"/>
    <xf numFmtId="0" fontId="20" fillId="34" borderId="0" xfId="2982" applyNumberFormat="1" applyFont="1" applyFill="1" applyBorder="1" applyAlignment="1">
      <alignment horizontal="center" vertical="center" wrapText="1"/>
    </xf>
    <xf numFmtId="164" fontId="22" fillId="34" borderId="18" xfId="2979" applyNumberFormat="1" applyFont="1" applyFill="1" applyBorder="1" applyAlignment="1">
      <alignment horizontal="center" vertical="center"/>
    </xf>
    <xf numFmtId="167" fontId="22" fillId="34" borderId="18" xfId="2979" applyNumberFormat="1" applyFont="1" applyFill="1" applyBorder="1" applyAlignment="1">
      <alignment horizontal="center" vertical="center"/>
    </xf>
    <xf numFmtId="43" fontId="20" fillId="61" borderId="0" xfId="2979" applyNumberFormat="1" applyFont="1" applyFill="1" applyBorder="1" applyAlignment="1">
      <alignment vertical="center" wrapText="1"/>
    </xf>
    <xf numFmtId="0" fontId="25" fillId="0" borderId="11" xfId="2470" applyFont="1" applyFill="1" applyBorder="1" applyAlignment="1"/>
    <xf numFmtId="0" fontId="22" fillId="60" borderId="11" xfId="2979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0" fillId="60" borderId="17" xfId="2982" applyFont="1" applyFill="1" applyBorder="1" applyAlignment="1">
      <alignment horizontal="center" vertical="center"/>
    </xf>
    <xf numFmtId="166" fontId="22" fillId="60" borderId="10" xfId="2979" applyNumberFormat="1" applyFont="1" applyFill="1" applyBorder="1" applyAlignment="1">
      <alignment horizontal="center" vertical="center"/>
    </xf>
    <xf numFmtId="0" fontId="0" fillId="68" borderId="0" xfId="0" applyFill="1" applyAlignment="1">
      <alignment horizontal="center"/>
    </xf>
    <xf numFmtId="43" fontId="22" fillId="0" borderId="10" xfId="2979" applyFont="1" applyFill="1" applyBorder="1" applyAlignment="1">
      <alignment horizontal="center" vertical="center"/>
    </xf>
    <xf numFmtId="0" fontId="22" fillId="68" borderId="0" xfId="0" applyFont="1" applyFill="1" applyAlignment="1">
      <alignment horizontal="center"/>
    </xf>
    <xf numFmtId="166" fontId="20" fillId="60" borderId="10" xfId="2979" applyNumberFormat="1" applyFont="1" applyFill="1" applyBorder="1" applyAlignment="1">
      <alignment horizontal="center" vertical="center"/>
    </xf>
    <xf numFmtId="166" fontId="22" fillId="68" borderId="0" xfId="0" applyNumberFormat="1" applyFont="1" applyFill="1" applyAlignment="1">
      <alignment horizontal="center"/>
    </xf>
    <xf numFmtId="3" fontId="20" fillId="0" borderId="5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20" fillId="36" borderId="63" xfId="0" applyNumberFormat="1" applyFont="1" applyFill="1" applyBorder="1" applyAlignment="1" applyProtection="1">
      <alignment horizontal="center" vertical="center" wrapText="1"/>
    </xf>
    <xf numFmtId="164" fontId="22" fillId="36" borderId="47" xfId="1" applyNumberFormat="1" applyFont="1" applyFill="1" applyBorder="1" applyAlignment="1" applyProtection="1">
      <alignment horizontal="center" vertical="center" wrapText="1"/>
    </xf>
    <xf numFmtId="164" fontId="20" fillId="33" borderId="1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60" fillId="0" borderId="0" xfId="2470" applyFont="1" applyAlignment="1">
      <alignment horizontal="right"/>
    </xf>
    <xf numFmtId="164" fontId="60" fillId="0" borderId="0" xfId="2979" applyNumberFormat="1" applyFont="1" applyFill="1" applyBorder="1" applyAlignment="1">
      <alignment horizontal="center"/>
    </xf>
    <xf numFmtId="165" fontId="60" fillId="0" borderId="0" xfId="2978" applyNumberFormat="1" applyFont="1" applyFill="1" applyBorder="1" applyAlignment="1">
      <alignment horizontal="center"/>
    </xf>
    <xf numFmtId="0" fontId="22" fillId="69" borderId="10" xfId="2470" applyFont="1" applyFill="1" applyBorder="1"/>
    <xf numFmtId="0" fontId="22" fillId="69" borderId="0" xfId="2470" applyFont="1" applyFill="1" applyBorder="1"/>
    <xf numFmtId="164" fontId="59" fillId="69" borderId="21" xfId="2470" applyNumberFormat="1" applyFont="1" applyFill="1" applyBorder="1" applyAlignment="1">
      <alignment horizontal="center"/>
    </xf>
    <xf numFmtId="0" fontId="20" fillId="69" borderId="0" xfId="2470" applyFont="1" applyFill="1"/>
    <xf numFmtId="0" fontId="22" fillId="69" borderId="0" xfId="2470" applyFont="1" applyFill="1"/>
    <xf numFmtId="0" fontId="22" fillId="69" borderId="0" xfId="2470" applyFont="1" applyFill="1" applyAlignment="1">
      <alignment horizontal="center"/>
    </xf>
    <xf numFmtId="165" fontId="22" fillId="69" borderId="0" xfId="2984" applyNumberFormat="1" applyFont="1" applyFill="1" applyAlignment="1">
      <alignment horizontal="center"/>
    </xf>
    <xf numFmtId="164" fontId="60" fillId="69" borderId="39" xfId="2979" applyNumberFormat="1" applyFont="1" applyFill="1" applyBorder="1" applyAlignment="1">
      <alignment horizontal="center"/>
    </xf>
    <xf numFmtId="0" fontId="61" fillId="69" borderId="10" xfId="2470" applyFont="1" applyFill="1" applyBorder="1"/>
    <xf numFmtId="0" fontId="61" fillId="69" borderId="0" xfId="2470" applyFont="1" applyFill="1" applyBorder="1"/>
    <xf numFmtId="0" fontId="22" fillId="69" borderId="10" xfId="0" applyFont="1" applyFill="1" applyBorder="1"/>
    <xf numFmtId="0" fontId="22" fillId="69" borderId="0" xfId="0" applyFont="1" applyFill="1" applyBorder="1"/>
    <xf numFmtId="164" fontId="59" fillId="69" borderId="21" xfId="0" applyNumberFormat="1" applyFont="1" applyFill="1" applyBorder="1" applyAlignment="1">
      <alignment horizontal="center"/>
    </xf>
    <xf numFmtId="0" fontId="20" fillId="69" borderId="0" xfId="0" applyFont="1" applyFill="1"/>
    <xf numFmtId="0" fontId="22" fillId="69" borderId="0" xfId="0" applyFont="1" applyFill="1"/>
    <xf numFmtId="0" fontId="22" fillId="69" borderId="0" xfId="0" applyFont="1" applyFill="1" applyAlignment="1">
      <alignment horizontal="center"/>
    </xf>
    <xf numFmtId="0" fontId="61" fillId="69" borderId="10" xfId="0" applyFont="1" applyFill="1" applyBorder="1"/>
    <xf numFmtId="0" fontId="61" fillId="69" borderId="0" xfId="0" applyFont="1" applyFill="1" applyBorder="1"/>
    <xf numFmtId="0" fontId="25" fillId="69" borderId="11" xfId="2470" applyFont="1" applyFill="1" applyBorder="1" applyAlignment="1">
      <alignment horizontal="left"/>
    </xf>
    <xf numFmtId="165" fontId="59" fillId="69" borderId="21" xfId="2978" applyNumberFormat="1" applyFont="1" applyFill="1" applyBorder="1" applyAlignment="1">
      <alignment horizontal="center"/>
    </xf>
    <xf numFmtId="164" fontId="22" fillId="69" borderId="0" xfId="2979" applyNumberFormat="1" applyFont="1" applyFill="1"/>
    <xf numFmtId="165" fontId="60" fillId="69" borderId="39" xfId="2978" applyNumberFormat="1" applyFont="1" applyFill="1" applyBorder="1" applyAlignment="1">
      <alignment horizontal="center"/>
    </xf>
    <xf numFmtId="164" fontId="22" fillId="69" borderId="0" xfId="0" applyNumberFormat="1" applyFont="1" applyFill="1" applyAlignment="1">
      <alignment horizontal="center"/>
    </xf>
    <xf numFmtId="2" fontId="20" fillId="33" borderId="30" xfId="2470" applyNumberFormat="1" applyFont="1" applyFill="1" applyBorder="1" applyAlignment="1" applyProtection="1">
      <alignment horizontal="center" vertical="center" wrapText="1"/>
    </xf>
    <xf numFmtId="0" fontId="20" fillId="0" borderId="64" xfId="0" applyFont="1" applyBorder="1" applyAlignment="1">
      <alignment horizontal="center" wrapText="1"/>
    </xf>
    <xf numFmtId="0" fontId="22" fillId="0" borderId="0" xfId="0" quotePrefix="1" applyNumberFormat="1" applyFont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3" fontId="22" fillId="0" borderId="0" xfId="0" applyNumberFormat="1" applyFont="1" applyBorder="1"/>
    <xf numFmtId="0" fontId="0" fillId="0" borderId="0" xfId="0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4" fillId="71" borderId="0" xfId="0" applyFont="1" applyFill="1" applyBorder="1" applyAlignment="1">
      <alignment horizontal="left"/>
    </xf>
    <xf numFmtId="0" fontId="22" fillId="70" borderId="0" xfId="0" applyFont="1" applyFill="1" applyBorder="1" applyAlignment="1"/>
    <xf numFmtId="3" fontId="22" fillId="70" borderId="0" xfId="0" applyNumberFormat="1" applyFont="1" applyFill="1"/>
    <xf numFmtId="0" fontId="0" fillId="70" borderId="0" xfId="0" applyFill="1" applyBorder="1" applyAlignment="1">
      <alignment horizontal="center"/>
    </xf>
    <xf numFmtId="3" fontId="22" fillId="70" borderId="0" xfId="0" applyNumberFormat="1" applyFont="1" applyFill="1" applyBorder="1" applyAlignment="1">
      <alignment horizontal="center"/>
    </xf>
    <xf numFmtId="0" fontId="22" fillId="33" borderId="65" xfId="0" applyFont="1" applyFill="1" applyBorder="1" applyAlignment="1">
      <alignment horizontal="center"/>
    </xf>
    <xf numFmtId="0" fontId="22" fillId="33" borderId="66" xfId="0" applyFont="1" applyFill="1" applyBorder="1" applyAlignment="1">
      <alignment horizontal="center"/>
    </xf>
    <xf numFmtId="0" fontId="22" fillId="33" borderId="65" xfId="0" applyFont="1" applyFill="1" applyBorder="1" applyAlignment="1"/>
    <xf numFmtId="164" fontId="22" fillId="35" borderId="65" xfId="1" applyNumberFormat="1" applyFont="1" applyFill="1" applyBorder="1" applyAlignment="1">
      <alignment horizontal="center"/>
    </xf>
    <xf numFmtId="1" fontId="22" fillId="33" borderId="67" xfId="0" applyNumberFormat="1" applyFont="1" applyFill="1" applyBorder="1" applyAlignment="1">
      <alignment horizontal="center"/>
    </xf>
    <xf numFmtId="1" fontId="19" fillId="0" borderId="68" xfId="0" applyNumberFormat="1" applyFont="1" applyBorder="1" applyAlignment="1">
      <alignment horizontal="center"/>
    </xf>
    <xf numFmtId="164" fontId="22" fillId="35" borderId="67" xfId="1" applyNumberFormat="1" applyFont="1" applyFill="1" applyBorder="1" applyAlignment="1">
      <alignment horizontal="center"/>
    </xf>
    <xf numFmtId="0" fontId="22" fillId="33" borderId="65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164" fontId="20" fillId="35" borderId="65" xfId="1" applyNumberFormat="1" applyFont="1" applyFill="1" applyBorder="1" applyAlignment="1">
      <alignment horizontal="center"/>
    </xf>
    <xf numFmtId="0" fontId="22" fillId="33" borderId="69" xfId="0" applyFont="1" applyFill="1" applyBorder="1" applyAlignment="1">
      <alignment horizontal="center"/>
    </xf>
    <xf numFmtId="0" fontId="22" fillId="33" borderId="69" xfId="0" applyFont="1" applyFill="1" applyBorder="1" applyAlignment="1">
      <alignment horizontal="right"/>
    </xf>
    <xf numFmtId="164" fontId="22" fillId="35" borderId="69" xfId="1" applyNumberFormat="1" applyFont="1" applyFill="1" applyBorder="1" applyAlignment="1">
      <alignment horizontal="center"/>
    </xf>
    <xf numFmtId="0" fontId="22" fillId="0" borderId="0" xfId="0" applyFont="1" applyBorder="1" applyAlignment="1"/>
    <xf numFmtId="3" fontId="22" fillId="0" borderId="0" xfId="0" applyNumberFormat="1" applyFont="1"/>
    <xf numFmtId="1" fontId="22" fillId="33" borderId="67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76" fillId="0" borderId="0" xfId="0" applyFont="1"/>
    <xf numFmtId="0" fontId="77" fillId="0" borderId="0" xfId="0" applyFont="1"/>
    <xf numFmtId="164" fontId="22" fillId="0" borderId="0" xfId="1" applyNumberFormat="1" applyFont="1"/>
    <xf numFmtId="164" fontId="0" fillId="0" borderId="0" xfId="1" applyNumberFormat="1" applyFont="1"/>
    <xf numFmtId="3" fontId="22" fillId="0" borderId="0" xfId="0" applyNumberFormat="1" applyFont="1" applyAlignment="1">
      <alignment horizontal="center"/>
    </xf>
    <xf numFmtId="0" fontId="22" fillId="33" borderId="0" xfId="0" applyFont="1" applyFill="1" applyBorder="1" applyAlignment="1">
      <alignment horizontal="center"/>
    </xf>
    <xf numFmtId="3" fontId="20" fillId="33" borderId="70" xfId="0" applyNumberFormat="1" applyFont="1" applyFill="1" applyBorder="1" applyAlignment="1">
      <alignment horizontal="center"/>
    </xf>
    <xf numFmtId="3" fontId="20" fillId="33" borderId="71" xfId="0" applyNumberFormat="1" applyFont="1" applyFill="1" applyBorder="1" applyAlignment="1">
      <alignment horizontal="center"/>
    </xf>
    <xf numFmtId="0" fontId="20" fillId="33" borderId="73" xfId="0" applyFont="1" applyFill="1" applyBorder="1" applyAlignment="1">
      <alignment horizontal="center"/>
    </xf>
    <xf numFmtId="3" fontId="20" fillId="33" borderId="73" xfId="0" applyNumberFormat="1" applyFont="1" applyFill="1" applyBorder="1" applyAlignment="1">
      <alignment horizontal="center"/>
    </xf>
    <xf numFmtId="0" fontId="22" fillId="33" borderId="63" xfId="0" applyFont="1" applyFill="1" applyBorder="1" applyAlignment="1">
      <alignment horizontal="center"/>
    </xf>
    <xf numFmtId="0" fontId="22" fillId="0" borderId="13" xfId="2470" applyFont="1" applyBorder="1"/>
    <xf numFmtId="2" fontId="22" fillId="0" borderId="0" xfId="2470" applyNumberFormat="1" applyFont="1" applyAlignment="1">
      <alignment horizontal="center"/>
    </xf>
    <xf numFmtId="2" fontId="20" fillId="0" borderId="0" xfId="2470" applyNumberFormat="1" applyFont="1" applyAlignment="1">
      <alignment horizontal="center"/>
    </xf>
    <xf numFmtId="0" fontId="22" fillId="0" borderId="0" xfId="2470" applyFont="1" applyAlignment="1">
      <alignment horizontal="center" vertical="center"/>
    </xf>
    <xf numFmtId="164" fontId="46" fillId="33" borderId="29" xfId="2470" applyNumberFormat="1" applyFont="1" applyFill="1" applyBorder="1" applyAlignment="1">
      <alignment horizontal="center" vertical="center"/>
    </xf>
    <xf numFmtId="43" fontId="48" fillId="0" borderId="29" xfId="2470" applyNumberFormat="1" applyFont="1" applyBorder="1"/>
    <xf numFmtId="165" fontId="22" fillId="0" borderId="0" xfId="2984" applyNumberFormat="1" applyFont="1"/>
    <xf numFmtId="9" fontId="22" fillId="0" borderId="0" xfId="2984" applyFont="1"/>
    <xf numFmtId="165" fontId="0" fillId="0" borderId="0" xfId="2984" applyNumberFormat="1" applyFont="1"/>
    <xf numFmtId="0" fontId="22" fillId="0" borderId="0" xfId="0" applyFont="1" applyAlignment="1">
      <alignment horizontal="center"/>
    </xf>
    <xf numFmtId="9" fontId="0" fillId="0" borderId="0" xfId="2984" applyFont="1"/>
    <xf numFmtId="0" fontId="61" fillId="0" borderId="0" xfId="0" applyFont="1"/>
    <xf numFmtId="0" fontId="61" fillId="0" borderId="0" xfId="0" applyFont="1" applyAlignment="1">
      <alignment horizontal="left"/>
    </xf>
    <xf numFmtId="0" fontId="22" fillId="0" borderId="33" xfId="0" applyFont="1" applyBorder="1"/>
    <xf numFmtId="165" fontId="22" fillId="0" borderId="0" xfId="2984" applyNumberFormat="1" applyFont="1" applyBorder="1"/>
    <xf numFmtId="43" fontId="22" fillId="0" borderId="0" xfId="0" applyNumberFormat="1" applyFont="1"/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5" fillId="0" borderId="11" xfId="2470" applyFont="1" applyFill="1" applyBorder="1" applyAlignment="1">
      <alignment horizontal="left"/>
    </xf>
    <xf numFmtId="2" fontId="20" fillId="60" borderId="0" xfId="2470" applyNumberFormat="1" applyFont="1" applyFill="1" applyBorder="1" applyAlignment="1" applyProtection="1">
      <alignment horizontal="center" vertical="center" wrapText="1"/>
    </xf>
    <xf numFmtId="43" fontId="22" fillId="60" borderId="10" xfId="2979" applyFont="1" applyFill="1" applyBorder="1" applyAlignment="1">
      <alignment horizontal="center" wrapText="1"/>
    </xf>
    <xf numFmtId="0" fontId="20" fillId="59" borderId="11" xfId="2982" applyNumberFormat="1" applyFont="1" applyFill="1" applyBorder="1" applyAlignment="1">
      <alignment horizontal="center" vertical="center" wrapText="1"/>
    </xf>
    <xf numFmtId="0" fontId="20" fillId="72" borderId="0" xfId="2982" applyNumberFormat="1" applyFont="1" applyFill="1" applyBorder="1" applyAlignment="1">
      <alignment horizontal="center" vertical="center" wrapText="1"/>
    </xf>
    <xf numFmtId="2" fontId="22" fillId="59" borderId="10" xfId="2470" applyNumberFormat="1" applyFont="1" applyFill="1" applyBorder="1" applyAlignment="1">
      <alignment horizontal="center"/>
    </xf>
    <xf numFmtId="2" fontId="22" fillId="34" borderId="10" xfId="2470" applyNumberFormat="1" applyFont="1" applyFill="1" applyBorder="1" applyAlignment="1">
      <alignment horizontal="center"/>
    </xf>
    <xf numFmtId="43" fontId="20" fillId="0" borderId="0" xfId="2470" applyNumberFormat="1" applyFont="1" applyFill="1" applyAlignment="1">
      <alignment horizontal="center"/>
    </xf>
    <xf numFmtId="168" fontId="0" fillId="0" borderId="0" xfId="1" applyNumberFormat="1" applyFont="1" applyFill="1"/>
    <xf numFmtId="164" fontId="22" fillId="0" borderId="0" xfId="0" applyNumberFormat="1" applyFont="1" applyFill="1"/>
    <xf numFmtId="165" fontId="22" fillId="0" borderId="0" xfId="2984" applyNumberFormat="1" applyFont="1" applyFill="1"/>
    <xf numFmtId="0" fontId="22" fillId="0" borderId="63" xfId="2470" applyFont="1" applyBorder="1"/>
    <xf numFmtId="0" fontId="20" fillId="0" borderId="63" xfId="2470" applyFont="1" applyBorder="1"/>
    <xf numFmtId="0" fontId="19" fillId="0" borderId="0" xfId="2470" quotePrefix="1" applyFill="1" applyAlignment="1">
      <alignment horizontal="center"/>
    </xf>
    <xf numFmtId="164" fontId="22" fillId="0" borderId="0" xfId="2470" applyNumberFormat="1" applyFont="1"/>
    <xf numFmtId="10" fontId="22" fillId="0" borderId="0" xfId="2984" applyNumberFormat="1" applyFont="1"/>
    <xf numFmtId="0" fontId="60" fillId="0" borderId="0" xfId="2470" applyFont="1" applyAlignment="1">
      <alignment horizontal="right"/>
    </xf>
    <xf numFmtId="0" fontId="25" fillId="0" borderId="11" xfId="2470" applyFont="1" applyFill="1" applyBorder="1" applyAlignment="1">
      <alignment horizontal="left"/>
    </xf>
    <xf numFmtId="2" fontId="20" fillId="33" borderId="32" xfId="2470" applyNumberFormat="1" applyFont="1" applyFill="1" applyBorder="1" applyAlignment="1" applyProtection="1">
      <alignment horizontal="center" vertical="center" wrapText="1"/>
    </xf>
    <xf numFmtId="0" fontId="60" fillId="0" borderId="0" xfId="0" applyFont="1" applyAlignment="1">
      <alignment horizontal="right"/>
    </xf>
    <xf numFmtId="0" fontId="20" fillId="33" borderId="0" xfId="0" applyFont="1" applyFill="1" applyBorder="1" applyAlignment="1">
      <alignment horizontal="center"/>
    </xf>
    <xf numFmtId="3" fontId="20" fillId="33" borderId="63" xfId="0" applyNumberFormat="1" applyFont="1" applyFill="1" applyBorder="1" applyAlignment="1">
      <alignment horizontal="center" textRotation="90" wrapText="1"/>
    </xf>
    <xf numFmtId="3" fontId="20" fillId="33" borderId="63" xfId="0" applyNumberFormat="1" applyFont="1" applyFill="1" applyBorder="1" applyAlignment="1">
      <alignment horizontal="center"/>
    </xf>
    <xf numFmtId="3" fontId="20" fillId="33" borderId="63" xfId="0" applyNumberFormat="1" applyFont="1" applyFill="1" applyBorder="1" applyAlignment="1">
      <alignment horizontal="center" textRotation="90"/>
    </xf>
    <xf numFmtId="0" fontId="20" fillId="73" borderId="33" xfId="0" applyFont="1" applyFill="1" applyBorder="1" applyAlignment="1">
      <alignment horizontal="center" vertical="center" wrapText="1"/>
    </xf>
    <xf numFmtId="0" fontId="22" fillId="63" borderId="10" xfId="2470" applyFont="1" applyFill="1" applyBorder="1"/>
    <xf numFmtId="0" fontId="22" fillId="63" borderId="0" xfId="2470" applyFont="1" applyFill="1" applyBorder="1"/>
    <xf numFmtId="164" fontId="59" fillId="63" borderId="21" xfId="2470" applyNumberFormat="1" applyFont="1" applyFill="1" applyBorder="1" applyAlignment="1">
      <alignment horizontal="center"/>
    </xf>
    <xf numFmtId="0" fontId="20" fillId="63" borderId="0" xfId="2470" applyFont="1" applyFill="1"/>
    <xf numFmtId="0" fontId="22" fillId="63" borderId="0" xfId="2470" applyFont="1" applyFill="1"/>
    <xf numFmtId="0" fontId="22" fillId="63" borderId="0" xfId="2470" applyFont="1" applyFill="1" applyAlignment="1">
      <alignment horizontal="center"/>
    </xf>
    <xf numFmtId="165" fontId="22" fillId="63" borderId="0" xfId="2978" applyNumberFormat="1" applyFont="1" applyFill="1" applyAlignment="1">
      <alignment horizontal="center"/>
    </xf>
    <xf numFmtId="0" fontId="22" fillId="63" borderId="0" xfId="0" applyFont="1" applyFill="1" applyAlignment="1">
      <alignment horizontal="center"/>
    </xf>
    <xf numFmtId="0" fontId="61" fillId="63" borderId="10" xfId="2470" applyFont="1" applyFill="1" applyBorder="1"/>
    <xf numFmtId="0" fontId="61" fillId="63" borderId="0" xfId="2470" applyFont="1" applyFill="1" applyBorder="1"/>
    <xf numFmtId="0" fontId="22" fillId="63" borderId="10" xfId="0" applyFont="1" applyFill="1" applyBorder="1"/>
    <xf numFmtId="0" fontId="61" fillId="63" borderId="10" xfId="0" applyFont="1" applyFill="1" applyBorder="1"/>
    <xf numFmtId="164" fontId="22" fillId="63" borderId="0" xfId="0" applyNumberFormat="1" applyFont="1" applyFill="1" applyAlignment="1">
      <alignment horizontal="center"/>
    </xf>
    <xf numFmtId="164" fontId="22" fillId="63" borderId="0" xfId="0" applyNumberFormat="1" applyFont="1" applyFill="1"/>
    <xf numFmtId="165" fontId="22" fillId="63" borderId="0" xfId="2978" applyNumberFormat="1" applyFont="1" applyFill="1"/>
    <xf numFmtId="164" fontId="22" fillId="0" borderId="47" xfId="1" applyNumberFormat="1" applyFont="1" applyFill="1" applyBorder="1" applyAlignment="1" applyProtection="1">
      <alignment horizontal="right" wrapText="1"/>
    </xf>
    <xf numFmtId="0" fontId="79" fillId="74" borderId="0" xfId="0" applyFont="1" applyFill="1"/>
    <xf numFmtId="0" fontId="80" fillId="74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center"/>
    </xf>
    <xf numFmtId="3" fontId="20" fillId="33" borderId="74" xfId="0" applyNumberFormat="1" applyFont="1" applyFill="1" applyBorder="1"/>
    <xf numFmtId="3" fontId="20" fillId="33" borderId="74" xfId="0" applyNumberFormat="1" applyFont="1" applyFill="1" applyBorder="1" applyAlignment="1">
      <alignment horizontal="center"/>
    </xf>
    <xf numFmtId="0" fontId="0" fillId="33" borderId="72" xfId="0" applyFill="1" applyBorder="1" applyAlignment="1">
      <alignment horizontal="left"/>
    </xf>
    <xf numFmtId="0" fontId="58" fillId="33" borderId="14" xfId="2470" applyFont="1" applyFill="1" applyBorder="1" applyAlignment="1">
      <alignment wrapText="1"/>
    </xf>
    <xf numFmtId="0" fontId="58" fillId="33" borderId="10" xfId="2470" applyFont="1" applyFill="1" applyBorder="1" applyAlignment="1">
      <alignment wrapText="1"/>
    </xf>
    <xf numFmtId="0" fontId="20" fillId="33" borderId="75" xfId="0" applyFont="1" applyFill="1" applyBorder="1" applyAlignment="1">
      <alignment horizontal="center" vertical="center"/>
    </xf>
    <xf numFmtId="3" fontId="20" fillId="33" borderId="76" xfId="0" applyNumberFormat="1" applyFont="1" applyFill="1" applyBorder="1" applyAlignment="1">
      <alignment horizontal="center"/>
    </xf>
    <xf numFmtId="3" fontId="20" fillId="33" borderId="77" xfId="2506" quotePrefix="1" applyNumberFormat="1" applyFont="1" applyFill="1" applyBorder="1" applyAlignment="1">
      <alignment horizontal="center" wrapText="1"/>
    </xf>
    <xf numFmtId="3" fontId="20" fillId="33" borderId="52" xfId="2506" quotePrefix="1" applyNumberFormat="1" applyFont="1" applyFill="1" applyBorder="1" applyAlignment="1">
      <alignment horizontal="center" wrapText="1"/>
    </xf>
    <xf numFmtId="3" fontId="78" fillId="33" borderId="71" xfId="2985" applyNumberFormat="1" applyFill="1" applyBorder="1" applyAlignment="1" applyProtection="1">
      <alignment horizontal="center"/>
    </xf>
    <xf numFmtId="3" fontId="20" fillId="35" borderId="78" xfId="2506" applyNumberFormat="1" applyFont="1" applyFill="1" applyBorder="1" applyAlignment="1" applyProtection="1">
      <alignment vertical="center" wrapText="1"/>
    </xf>
    <xf numFmtId="3" fontId="20" fillId="35" borderId="79" xfId="2506" applyNumberFormat="1" applyFont="1" applyFill="1" applyBorder="1" applyAlignment="1" applyProtection="1">
      <alignment vertical="center" wrapText="1"/>
    </xf>
    <xf numFmtId="164" fontId="22" fillId="0" borderId="47" xfId="1" applyNumberFormat="1" applyFont="1" applyFill="1" applyBorder="1" applyAlignment="1" applyProtection="1"/>
    <xf numFmtId="1" fontId="19" fillId="0" borderId="0" xfId="0" applyNumberFormat="1" applyFont="1" applyBorder="1" applyAlignment="1">
      <alignment horizontal="center"/>
    </xf>
    <xf numFmtId="1" fontId="22" fillId="33" borderId="67" xfId="0" applyNumberFormat="1" applyFont="1" applyFill="1" applyBorder="1" applyAlignment="1">
      <alignment horizontal="left"/>
    </xf>
    <xf numFmtId="164" fontId="22" fillId="35" borderId="67" xfId="1" applyNumberFormat="1" applyFont="1" applyFill="1" applyBorder="1" applyAlignment="1"/>
    <xf numFmtId="1" fontId="19" fillId="0" borderId="0" xfId="0" applyNumberFormat="1" applyFont="1" applyBorder="1"/>
    <xf numFmtId="0" fontId="19" fillId="0" borderId="0" xfId="0" applyFont="1" applyBorder="1"/>
    <xf numFmtId="0" fontId="22" fillId="33" borderId="65" xfId="0" applyFont="1" applyFill="1" applyBorder="1" applyAlignment="1">
      <alignment horizontal="left"/>
    </xf>
    <xf numFmtId="164" fontId="20" fillId="35" borderId="65" xfId="1" applyNumberFormat="1" applyFont="1" applyFill="1" applyBorder="1" applyAlignment="1"/>
    <xf numFmtId="164" fontId="22" fillId="35" borderId="65" xfId="1" applyNumberFormat="1" applyFont="1" applyFill="1" applyBorder="1" applyAlignment="1"/>
    <xf numFmtId="0" fontId="22" fillId="33" borderId="69" xfId="0" applyFont="1" applyFill="1" applyBorder="1" applyAlignment="1">
      <alignment horizontal="left"/>
    </xf>
    <xf numFmtId="164" fontId="22" fillId="35" borderId="69" xfId="1" applyNumberFormat="1" applyFont="1" applyFill="1" applyBorder="1" applyAlignment="1"/>
    <xf numFmtId="0" fontId="78" fillId="0" borderId="0" xfId="2985" applyBorder="1" applyAlignment="1" applyProtection="1">
      <alignment horizontal="right"/>
    </xf>
    <xf numFmtId="3" fontId="20" fillId="33" borderId="52" xfId="2506" quotePrefix="1" applyNumberFormat="1" applyFont="1" applyFill="1" applyBorder="1" applyAlignment="1">
      <alignment horizontal="center"/>
    </xf>
    <xf numFmtId="3" fontId="20" fillId="33" borderId="77" xfId="2506" quotePrefix="1" applyNumberFormat="1" applyFont="1" applyFill="1" applyBorder="1" applyAlignment="1">
      <alignment horizontal="center"/>
    </xf>
    <xf numFmtId="3" fontId="20" fillId="33" borderId="77" xfId="2506" quotePrefix="1" applyNumberFormat="1" applyFont="1" applyFill="1" applyBorder="1" applyAlignment="1"/>
    <xf numFmtId="0" fontId="0" fillId="0" borderId="0" xfId="0" applyAlignment="1"/>
    <xf numFmtId="0" fontId="22" fillId="0" borderId="0" xfId="0" quotePrefix="1" applyNumberFormat="1" applyFont="1" applyBorder="1" applyAlignment="1">
      <alignment horizontal="left"/>
    </xf>
    <xf numFmtId="0" fontId="22" fillId="0" borderId="0" xfId="0" applyNumberFormat="1" applyFont="1" applyFill="1" applyBorder="1" applyAlignment="1"/>
    <xf numFmtId="3" fontId="22" fillId="0" borderId="0" xfId="0" applyNumberFormat="1" applyFont="1" applyBorder="1" applyAlignment="1">
      <alignment horizontal="left"/>
    </xf>
    <xf numFmtId="0" fontId="22" fillId="70" borderId="0" xfId="0" applyFont="1" applyFill="1" applyBorder="1" applyAlignment="1">
      <alignment horizontal="center"/>
    </xf>
    <xf numFmtId="0" fontId="22" fillId="70" borderId="0" xfId="0" applyFont="1" applyFill="1" applyBorder="1" applyAlignment="1">
      <alignment horizontal="left"/>
    </xf>
    <xf numFmtId="0" fontId="20" fillId="33" borderId="65" xfId="0" applyFont="1" applyFill="1" applyBorder="1" applyAlignment="1">
      <alignment horizontal="center"/>
    </xf>
    <xf numFmtId="0" fontId="20" fillId="33" borderId="66" xfId="0" applyFont="1" applyFill="1" applyBorder="1" applyAlignment="1">
      <alignment horizontal="center"/>
    </xf>
    <xf numFmtId="0" fontId="0" fillId="0" borderId="80" xfId="0" applyBorder="1"/>
    <xf numFmtId="3" fontId="22" fillId="7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right"/>
    </xf>
    <xf numFmtId="3" fontId="22" fillId="0" borderId="0" xfId="0" applyNumberFormat="1" applyFont="1" applyBorder="1" applyAlignment="1"/>
    <xf numFmtId="0" fontId="76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59" fillId="0" borderId="0" xfId="0" applyFont="1" applyBorder="1" applyAlignment="1">
      <alignment horizontal="center"/>
    </xf>
    <xf numFmtId="3" fontId="76" fillId="0" borderId="0" xfId="0" applyNumberFormat="1" applyFont="1" applyAlignment="1">
      <alignment horizontal="center"/>
    </xf>
    <xf numFmtId="3" fontId="76" fillId="0" borderId="0" xfId="0" applyNumberFormat="1" applyFont="1"/>
    <xf numFmtId="0" fontId="76" fillId="0" borderId="0" xfId="0" applyFont="1" applyBorder="1" applyAlignment="1">
      <alignment horizontal="center"/>
    </xf>
    <xf numFmtId="3" fontId="59" fillId="0" borderId="80" xfId="0" applyNumberFormat="1" applyFont="1" applyBorder="1" applyAlignment="1">
      <alignment horizontal="center"/>
    </xf>
    <xf numFmtId="3" fontId="59" fillId="0" borderId="80" xfId="0" applyNumberFormat="1" applyFont="1" applyBorder="1" applyAlignment="1"/>
    <xf numFmtId="0" fontId="77" fillId="0" borderId="0" xfId="0" applyFont="1" applyBorder="1" applyAlignment="1">
      <alignment horizontal="right"/>
    </xf>
    <xf numFmtId="0" fontId="77" fillId="0" borderId="0" xfId="0" applyFont="1" applyBorder="1" applyAlignment="1">
      <alignment horizontal="center"/>
    </xf>
    <xf numFmtId="3" fontId="77" fillId="0" borderId="0" xfId="0" applyNumberFormat="1" applyFont="1" applyAlignment="1">
      <alignment horizontal="center"/>
    </xf>
    <xf numFmtId="3" fontId="77" fillId="0" borderId="0" xfId="0" applyNumberFormat="1" applyFont="1"/>
    <xf numFmtId="10" fontId="77" fillId="0" borderId="0" xfId="2984" applyNumberFormat="1" applyFont="1"/>
    <xf numFmtId="10" fontId="77" fillId="0" borderId="0" xfId="2984" applyNumberFormat="1" applyFont="1" applyAlignment="1"/>
    <xf numFmtId="9" fontId="77" fillId="0" borderId="0" xfId="2984" applyNumberFormat="1" applyFont="1"/>
    <xf numFmtId="9" fontId="77" fillId="0" borderId="0" xfId="2984" applyNumberFormat="1" applyFont="1" applyAlignment="1"/>
    <xf numFmtId="164" fontId="20" fillId="0" borderId="0" xfId="1" applyNumberFormat="1" applyFont="1" applyBorder="1" applyAlignment="1">
      <alignment horizontal="right"/>
    </xf>
    <xf numFmtId="164" fontId="22" fillId="0" borderId="0" xfId="1" applyNumberFormat="1" applyFont="1" applyBorder="1" applyAlignment="1">
      <alignment horizontal="right"/>
    </xf>
    <xf numFmtId="166" fontId="20" fillId="0" borderId="0" xfId="1" applyNumberFormat="1" applyFont="1" applyBorder="1" applyAlignment="1">
      <alignment horizontal="center"/>
    </xf>
    <xf numFmtId="164" fontId="22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22" fillId="33" borderId="0" xfId="1" applyNumberFormat="1" applyFont="1" applyFill="1" applyBorder="1" applyAlignment="1">
      <alignment horizontal="center"/>
    </xf>
    <xf numFmtId="164" fontId="22" fillId="33" borderId="0" xfId="1" applyNumberFormat="1" applyFont="1" applyFill="1" applyBorder="1" applyAlignment="1"/>
    <xf numFmtId="164" fontId="22" fillId="0" borderId="0" xfId="1" applyNumberFormat="1" applyFont="1" applyBorder="1" applyAlignment="1">
      <alignment horizontal="center"/>
    </xf>
    <xf numFmtId="164" fontId="22" fillId="0" borderId="0" xfId="1" applyNumberFormat="1" applyFont="1" applyBorder="1" applyAlignment="1"/>
    <xf numFmtId="164" fontId="22" fillId="0" borderId="64" xfId="1" applyNumberFormat="1" applyFont="1" applyBorder="1" applyAlignment="1">
      <alignment horizontal="center"/>
    </xf>
    <xf numFmtId="164" fontId="22" fillId="0" borderId="64" xfId="1" applyNumberFormat="1" applyFont="1" applyBorder="1" applyAlignment="1"/>
    <xf numFmtId="164" fontId="20" fillId="0" borderId="0" xfId="1" applyNumberFormat="1" applyFont="1" applyFill="1" applyBorder="1" applyAlignment="1">
      <alignment horizontal="center"/>
    </xf>
    <xf numFmtId="43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/>
    <xf numFmtId="0" fontId="22" fillId="33" borderId="67" xfId="0" applyFont="1" applyFill="1" applyBorder="1" applyAlignment="1">
      <alignment horizontal="center"/>
    </xf>
    <xf numFmtId="164" fontId="22" fillId="0" borderId="47" xfId="1" applyNumberFormat="1" applyFont="1" applyFill="1" applyBorder="1" applyAlignment="1" applyProtection="1">
      <alignment horizontal="center" wrapText="1"/>
    </xf>
    <xf numFmtId="0" fontId="25" fillId="63" borderId="11" xfId="2470" applyFont="1" applyFill="1" applyBorder="1" applyAlignment="1">
      <alignment horizontal="left"/>
    </xf>
    <xf numFmtId="9" fontId="22" fillId="63" borderId="0" xfId="2978" applyFont="1" applyFill="1" applyAlignment="1">
      <alignment horizontal="center"/>
    </xf>
    <xf numFmtId="9" fontId="22" fillId="63" borderId="0" xfId="2978" applyNumberFormat="1" applyFont="1" applyFill="1" applyAlignment="1">
      <alignment horizontal="center"/>
    </xf>
    <xf numFmtId="1" fontId="20" fillId="67" borderId="53" xfId="2249" applyNumberFormat="1" applyFont="1" applyFill="1" applyBorder="1" applyAlignment="1">
      <alignment horizontal="center" vertical="center"/>
    </xf>
    <xf numFmtId="0" fontId="22" fillId="34" borderId="18" xfId="2979" applyNumberFormat="1" applyFont="1" applyFill="1" applyBorder="1" applyAlignment="1">
      <alignment horizontal="center" vertical="center"/>
    </xf>
    <xf numFmtId="0" fontId="82" fillId="0" borderId="0" xfId="0" applyFont="1"/>
    <xf numFmtId="0" fontId="83" fillId="0" borderId="0" xfId="0" applyFont="1"/>
    <xf numFmtId="0" fontId="84" fillId="0" borderId="0" xfId="0" applyFont="1"/>
    <xf numFmtId="0" fontId="84" fillId="0" borderId="0" xfId="0" applyFont="1" applyAlignment="1">
      <alignment horizontal="center" wrapText="1"/>
    </xf>
    <xf numFmtId="0" fontId="22" fillId="33" borderId="66" xfId="0" applyFont="1" applyFill="1" applyBorder="1" applyAlignment="1"/>
    <xf numFmtId="0" fontId="84" fillId="0" borderId="0" xfId="0" applyNumberFormat="1" applyFont="1"/>
    <xf numFmtId="0" fontId="20" fillId="33" borderId="63" xfId="0" applyFont="1" applyFill="1" applyBorder="1" applyAlignment="1">
      <alignment horizontal="center"/>
    </xf>
    <xf numFmtId="0" fontId="85" fillId="0" borderId="0" xfId="0" applyFont="1"/>
    <xf numFmtId="0" fontId="20" fillId="0" borderId="0" xfId="0" applyFont="1"/>
    <xf numFmtId="164" fontId="20" fillId="0" borderId="0" xfId="0" applyNumberFormat="1" applyFont="1"/>
    <xf numFmtId="9" fontId="84" fillId="0" borderId="0" xfId="2984" applyFont="1"/>
    <xf numFmtId="44" fontId="22" fillId="0" borderId="47" xfId="2983" applyFont="1" applyFill="1" applyBorder="1" applyAlignment="1" applyProtection="1">
      <alignment horizontal="right" wrapText="1"/>
    </xf>
    <xf numFmtId="44" fontId="22" fillId="35" borderId="65" xfId="2983" applyFont="1" applyFill="1" applyBorder="1" applyAlignment="1">
      <alignment horizontal="center"/>
    </xf>
    <xf numFmtId="2" fontId="20" fillId="0" borderId="63" xfId="2470" applyNumberFormat="1" applyFont="1" applyBorder="1"/>
    <xf numFmtId="0" fontId="20" fillId="65" borderId="20" xfId="2982" applyNumberFormat="1" applyFont="1" applyFill="1" applyBorder="1" applyAlignment="1">
      <alignment horizontal="center" vertical="center" wrapText="1"/>
    </xf>
    <xf numFmtId="0" fontId="22" fillId="65" borderId="10" xfId="2470" applyFont="1" applyFill="1" applyBorder="1" applyAlignment="1">
      <alignment horizontal="center"/>
    </xf>
    <xf numFmtId="0" fontId="22" fillId="65" borderId="10" xfId="2470" quotePrefix="1" applyFont="1" applyFill="1" applyBorder="1" applyAlignment="1">
      <alignment horizontal="center"/>
    </xf>
    <xf numFmtId="0" fontId="20" fillId="65" borderId="0" xfId="2982" applyNumberFormat="1" applyFont="1" applyFill="1" applyBorder="1" applyAlignment="1">
      <alignment horizontal="center" vertical="center" wrapText="1"/>
    </xf>
    <xf numFmtId="2" fontId="22" fillId="65" borderId="10" xfId="2470" applyNumberFormat="1" applyFont="1" applyFill="1" applyBorder="1" applyAlignment="1">
      <alignment horizontal="center"/>
    </xf>
    <xf numFmtId="0" fontId="22" fillId="0" borderId="63" xfId="2470" applyFont="1" applyBorder="1" applyAlignment="1">
      <alignment horizontal="center"/>
    </xf>
    <xf numFmtId="0" fontId="22" fillId="0" borderId="63" xfId="2470" quotePrefix="1" applyFont="1" applyBorder="1" applyAlignment="1">
      <alignment horizontal="center"/>
    </xf>
    <xf numFmtId="0" fontId="19" fillId="0" borderId="0" xfId="2470" applyAlignment="1">
      <alignment horizontal="center"/>
    </xf>
    <xf numFmtId="0" fontId="19" fillId="0" borderId="0" xfId="2470" quotePrefix="1" applyAlignment="1">
      <alignment horizontal="center"/>
    </xf>
    <xf numFmtId="9" fontId="20" fillId="0" borderId="63" xfId="2984" applyNumberFormat="1" applyFont="1" applyBorder="1"/>
    <xf numFmtId="0" fontId="58" fillId="33" borderId="10" xfId="247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20" fillId="33" borderId="33" xfId="0" applyFont="1" applyFill="1" applyBorder="1" applyAlignment="1">
      <alignment horizontal="center"/>
    </xf>
    <xf numFmtId="164" fontId="22" fillId="35" borderId="65" xfId="2979" applyNumberFormat="1" applyFont="1" applyFill="1" applyBorder="1" applyAlignment="1">
      <alignment horizontal="center"/>
    </xf>
    <xf numFmtId="164" fontId="22" fillId="35" borderId="65" xfId="2979" applyNumberFormat="1" applyFont="1" applyFill="1" applyBorder="1" applyAlignment="1"/>
    <xf numFmtId="0" fontId="22" fillId="62" borderId="17" xfId="0" applyFont="1" applyFill="1" applyBorder="1" applyAlignment="1"/>
    <xf numFmtId="0" fontId="22" fillId="0" borderId="0" xfId="0" applyFont="1" applyAlignment="1">
      <alignment vertical="center"/>
    </xf>
    <xf numFmtId="3" fontId="20" fillId="35" borderId="79" xfId="2506" applyNumberFormat="1" applyFont="1" applyFill="1" applyBorder="1" applyAlignment="1" applyProtection="1">
      <alignment horizontal="center" vertical="center" wrapText="1"/>
    </xf>
    <xf numFmtId="164" fontId="22" fillId="0" borderId="29" xfId="2979" applyNumberFormat="1" applyFont="1" applyFill="1" applyBorder="1" applyAlignment="1">
      <alignment horizontal="center"/>
    </xf>
    <xf numFmtId="10" fontId="77" fillId="0" borderId="0" xfId="2984" applyNumberFormat="1" applyFont="1" applyAlignment="1">
      <alignment horizontal="center"/>
    </xf>
    <xf numFmtId="9" fontId="77" fillId="0" borderId="0" xfId="2984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9" fontId="20" fillId="33" borderId="77" xfId="2984" quotePrefix="1" applyFont="1" applyFill="1" applyBorder="1" applyAlignment="1">
      <alignment horizontal="center"/>
    </xf>
    <xf numFmtId="0" fontId="60" fillId="0" borderId="0" xfId="2470" applyFont="1" applyAlignment="1"/>
    <xf numFmtId="0" fontId="60" fillId="0" borderId="0" xfId="2470" applyFont="1" applyAlignment="1">
      <alignment horizontal="right"/>
    </xf>
    <xf numFmtId="164" fontId="22" fillId="0" borderId="0" xfId="2984" applyNumberFormat="1" applyFont="1"/>
    <xf numFmtId="164" fontId="22" fillId="0" borderId="0" xfId="2470" applyNumberFormat="1" applyFont="1" applyFill="1" applyBorder="1" applyAlignment="1">
      <alignment horizontal="center"/>
    </xf>
    <xf numFmtId="164" fontId="22" fillId="0" borderId="0" xfId="2470" applyNumberFormat="1" applyFont="1" applyFill="1" applyAlignment="1">
      <alignment horizontal="center"/>
    </xf>
    <xf numFmtId="164" fontId="20" fillId="0" borderId="0" xfId="2470" applyNumberFormat="1" applyFont="1" applyFill="1" applyAlignment="1">
      <alignment horizontal="center"/>
    </xf>
    <xf numFmtId="0" fontId="20" fillId="0" borderId="0" xfId="2470" applyFont="1" applyFill="1" applyAlignment="1">
      <alignment horizontal="center"/>
    </xf>
    <xf numFmtId="0" fontId="20" fillId="0" borderId="10" xfId="2470" applyFont="1" applyBorder="1"/>
    <xf numFmtId="0" fontId="25" fillId="0" borderId="11" xfId="2470" applyFont="1" applyFill="1" applyBorder="1" applyAlignment="1">
      <alignment horizontal="left" vertical="center" wrapText="1"/>
    </xf>
    <xf numFmtId="0" fontId="25" fillId="0" borderId="19" xfId="2470" applyFont="1" applyFill="1" applyBorder="1" applyAlignment="1">
      <alignment horizontal="left" vertical="center" wrapText="1"/>
    </xf>
    <xf numFmtId="0" fontId="44" fillId="0" borderId="0" xfId="2470" applyFont="1" applyBorder="1" applyAlignment="1">
      <alignment horizontal="left"/>
    </xf>
    <xf numFmtId="0" fontId="59" fillId="69" borderId="36" xfId="2470" applyFont="1" applyFill="1" applyBorder="1" applyAlignment="1">
      <alignment horizontal="center"/>
    </xf>
    <xf numFmtId="0" fontId="59" fillId="69" borderId="37" xfId="2470" applyFont="1" applyFill="1" applyBorder="1" applyAlignment="1">
      <alignment horizontal="center"/>
    </xf>
    <xf numFmtId="0" fontId="59" fillId="69" borderId="38" xfId="2470" applyFont="1" applyFill="1" applyBorder="1" applyAlignment="1">
      <alignment horizontal="center"/>
    </xf>
    <xf numFmtId="0" fontId="60" fillId="69" borderId="0" xfId="2470" applyFont="1" applyFill="1" applyAlignment="1">
      <alignment horizontal="right"/>
    </xf>
    <xf numFmtId="0" fontId="25" fillId="0" borderId="11" xfId="2470" applyFont="1" applyFill="1" applyBorder="1" applyAlignment="1">
      <alignment horizontal="left"/>
    </xf>
    <xf numFmtId="0" fontId="25" fillId="0" borderId="19" xfId="2470" applyFont="1" applyFill="1" applyBorder="1" applyAlignment="1">
      <alignment horizontal="left"/>
    </xf>
    <xf numFmtId="0" fontId="58" fillId="33" borderId="14" xfId="2470" applyFont="1" applyFill="1" applyBorder="1" applyAlignment="1">
      <alignment horizontal="center" wrapText="1"/>
    </xf>
    <xf numFmtId="0" fontId="58" fillId="33" borderId="10" xfId="2470" applyFont="1" applyFill="1" applyBorder="1" applyAlignment="1">
      <alignment horizontal="center" wrapText="1"/>
    </xf>
    <xf numFmtId="0" fontId="58" fillId="33" borderId="15" xfId="2470" applyFont="1" applyFill="1" applyBorder="1" applyAlignment="1">
      <alignment horizontal="center" wrapText="1"/>
    </xf>
    <xf numFmtId="0" fontId="58" fillId="33" borderId="18" xfId="2470" applyFont="1" applyFill="1" applyBorder="1" applyAlignment="1">
      <alignment horizontal="center" wrapText="1"/>
    </xf>
    <xf numFmtId="2" fontId="20" fillId="33" borderId="20" xfId="2470" applyNumberFormat="1" applyFont="1" applyFill="1" applyBorder="1" applyAlignment="1" applyProtection="1">
      <alignment horizontal="center" vertical="center" wrapText="1"/>
    </xf>
    <xf numFmtId="2" fontId="20" fillId="33" borderId="33" xfId="2470" applyNumberFormat="1" applyFont="1" applyFill="1" applyBorder="1" applyAlignment="1" applyProtection="1">
      <alignment horizontal="center" vertical="center" wrapText="1"/>
    </xf>
    <xf numFmtId="2" fontId="20" fillId="33" borderId="30" xfId="2470" applyNumberFormat="1" applyFont="1" applyFill="1" applyBorder="1" applyAlignment="1" applyProtection="1">
      <alignment horizontal="center" vertical="center" wrapText="1"/>
    </xf>
    <xf numFmtId="2" fontId="20" fillId="33" borderId="31" xfId="2470" applyNumberFormat="1" applyFont="1" applyFill="1" applyBorder="1" applyAlignment="1" applyProtection="1">
      <alignment horizontal="center" vertical="center" wrapText="1"/>
    </xf>
    <xf numFmtId="2" fontId="20" fillId="33" borderId="32" xfId="2470" applyNumberFormat="1" applyFont="1" applyFill="1" applyBorder="1" applyAlignment="1" applyProtection="1">
      <alignment horizontal="center" vertical="center" wrapText="1"/>
    </xf>
    <xf numFmtId="2" fontId="20" fillId="33" borderId="34" xfId="2470" applyNumberFormat="1" applyFont="1" applyFill="1" applyBorder="1" applyAlignment="1" applyProtection="1">
      <alignment horizontal="center" vertical="center" wrapText="1"/>
    </xf>
    <xf numFmtId="0" fontId="60" fillId="0" borderId="0" xfId="2470" applyFont="1" applyAlignment="1">
      <alignment horizontal="right"/>
    </xf>
    <xf numFmtId="0" fontId="20" fillId="0" borderId="0" xfId="2470" applyFont="1" applyAlignment="1">
      <alignment horizontal="center"/>
    </xf>
    <xf numFmtId="0" fontId="59" fillId="0" borderId="36" xfId="2470" applyFont="1" applyBorder="1" applyAlignment="1">
      <alignment horizontal="center"/>
    </xf>
    <xf numFmtId="0" fontId="59" fillId="0" borderId="37" xfId="2470" applyFont="1" applyBorder="1" applyAlignment="1">
      <alignment horizontal="center"/>
    </xf>
    <xf numFmtId="0" fontId="59" fillId="0" borderId="38" xfId="2470" applyFont="1" applyBorder="1" applyAlignment="1">
      <alignment horizontal="center"/>
    </xf>
    <xf numFmtId="0" fontId="59" fillId="64" borderId="36" xfId="2470" applyFont="1" applyFill="1" applyBorder="1" applyAlignment="1">
      <alignment horizontal="center"/>
    </xf>
    <xf numFmtId="0" fontId="59" fillId="64" borderId="37" xfId="2470" applyFont="1" applyFill="1" applyBorder="1" applyAlignment="1">
      <alignment horizontal="center"/>
    </xf>
    <xf numFmtId="0" fontId="59" fillId="64" borderId="38" xfId="2470" applyFont="1" applyFill="1" applyBorder="1" applyAlignment="1">
      <alignment horizontal="center"/>
    </xf>
    <xf numFmtId="0" fontId="60" fillId="64" borderId="0" xfId="2470" applyFont="1" applyFill="1" applyAlignment="1">
      <alignment horizontal="right"/>
    </xf>
    <xf numFmtId="0" fontId="59" fillId="63" borderId="36" xfId="0" applyFont="1" applyFill="1" applyBorder="1" applyAlignment="1">
      <alignment horizontal="center"/>
    </xf>
    <xf numFmtId="0" fontId="59" fillId="63" borderId="37" xfId="0" applyFont="1" applyFill="1" applyBorder="1" applyAlignment="1">
      <alignment horizontal="center"/>
    </xf>
    <xf numFmtId="0" fontId="59" fillId="63" borderId="38" xfId="0" applyFont="1" applyFill="1" applyBorder="1" applyAlignment="1">
      <alignment horizontal="center"/>
    </xf>
    <xf numFmtId="0" fontId="60" fillId="63" borderId="0" xfId="0" applyFont="1" applyFill="1" applyAlignment="1">
      <alignment horizontal="right"/>
    </xf>
    <xf numFmtId="0" fontId="59" fillId="65" borderId="36" xfId="0" applyFont="1" applyFill="1" applyBorder="1" applyAlignment="1">
      <alignment horizontal="center"/>
    </xf>
    <xf numFmtId="0" fontId="59" fillId="65" borderId="37" xfId="0" applyFont="1" applyFill="1" applyBorder="1" applyAlignment="1">
      <alignment horizontal="center"/>
    </xf>
    <xf numFmtId="0" fontId="59" fillId="65" borderId="38" xfId="0" applyFont="1" applyFill="1" applyBorder="1" applyAlignment="1">
      <alignment horizontal="center"/>
    </xf>
    <xf numFmtId="0" fontId="60" fillId="65" borderId="0" xfId="0" applyFont="1" applyFill="1" applyAlignment="1">
      <alignment horizontal="right"/>
    </xf>
    <xf numFmtId="0" fontId="59" fillId="63" borderId="36" xfId="2470" applyFont="1" applyFill="1" applyBorder="1" applyAlignment="1">
      <alignment horizontal="center"/>
    </xf>
    <xf numFmtId="0" fontId="59" fillId="63" borderId="37" xfId="2470" applyFont="1" applyFill="1" applyBorder="1" applyAlignment="1">
      <alignment horizontal="center"/>
    </xf>
    <xf numFmtId="0" fontId="59" fillId="63" borderId="38" xfId="2470" applyFont="1" applyFill="1" applyBorder="1" applyAlignment="1">
      <alignment horizontal="center"/>
    </xf>
    <xf numFmtId="0" fontId="60" fillId="63" borderId="0" xfId="2470" applyFont="1" applyFill="1" applyAlignment="1">
      <alignment horizontal="right"/>
    </xf>
    <xf numFmtId="0" fontId="58" fillId="33" borderId="1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8" fillId="33" borderId="41" xfId="2470" applyFont="1" applyFill="1" applyBorder="1" applyAlignment="1">
      <alignment horizontal="center" wrapText="1"/>
    </xf>
    <xf numFmtId="0" fontId="58" fillId="33" borderId="42" xfId="2470" applyFont="1" applyFill="1" applyBorder="1" applyAlignment="1">
      <alignment horizontal="center"/>
    </xf>
    <xf numFmtId="0" fontId="58" fillId="33" borderId="42" xfId="2470" applyFont="1" applyFill="1" applyBorder="1" applyAlignment="1">
      <alignment horizontal="center" wrapText="1"/>
    </xf>
    <xf numFmtId="0" fontId="58" fillId="33" borderId="41" xfId="0" applyFont="1" applyFill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20" fillId="63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58" fillId="33" borderId="42" xfId="0" applyFont="1" applyFill="1" applyBorder="1" applyAlignment="1">
      <alignment horizontal="center" wrapText="1"/>
    </xf>
    <xf numFmtId="0" fontId="20" fillId="33" borderId="44" xfId="0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59" fillId="0" borderId="36" xfId="0" applyFont="1" applyBorder="1" applyAlignment="1">
      <alignment horizontal="center"/>
    </xf>
    <xf numFmtId="0" fontId="59" fillId="0" borderId="37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20" fillId="69" borderId="0" xfId="0" applyFont="1" applyFill="1" applyAlignment="1">
      <alignment horizontal="center"/>
    </xf>
    <xf numFmtId="0" fontId="59" fillId="69" borderId="36" xfId="0" applyFont="1" applyFill="1" applyBorder="1" applyAlignment="1">
      <alignment horizontal="center"/>
    </xf>
    <xf numFmtId="0" fontId="59" fillId="69" borderId="37" xfId="0" applyFont="1" applyFill="1" applyBorder="1" applyAlignment="1">
      <alignment horizontal="center"/>
    </xf>
    <xf numFmtId="0" fontId="59" fillId="69" borderId="38" xfId="0" applyFont="1" applyFill="1" applyBorder="1" applyAlignment="1">
      <alignment horizontal="center"/>
    </xf>
    <xf numFmtId="0" fontId="60" fillId="69" borderId="0" xfId="0" applyFont="1" applyFill="1" applyAlignment="1">
      <alignment horizontal="right"/>
    </xf>
    <xf numFmtId="0" fontId="66" fillId="0" borderId="0" xfId="0" applyFont="1" applyAlignment="1">
      <alignment horizontal="left"/>
    </xf>
    <xf numFmtId="0" fontId="20" fillId="59" borderId="18" xfId="2982" applyFont="1" applyFill="1" applyBorder="1" applyAlignment="1">
      <alignment horizontal="center" vertical="center"/>
    </xf>
    <xf numFmtId="0" fontId="20" fillId="59" borderId="17" xfId="2982" applyFont="1" applyFill="1" applyBorder="1" applyAlignment="1">
      <alignment horizontal="center" vertical="center"/>
    </xf>
    <xf numFmtId="0" fontId="20" fillId="34" borderId="0" xfId="2982" applyFont="1" applyFill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166" fontId="20" fillId="33" borderId="0" xfId="0" applyNumberFormat="1" applyFont="1" applyFill="1" applyAlignment="1">
      <alignment horizontal="center"/>
    </xf>
    <xf numFmtId="166" fontId="22" fillId="0" borderId="10" xfId="2982" applyNumberFormat="1" applyBorder="1" applyAlignment="1">
      <alignment horizontal="center" vertical="center"/>
    </xf>
    <xf numFmtId="3" fontId="20" fillId="33" borderId="54" xfId="0" quotePrefix="1" applyNumberFormat="1" applyFont="1" applyFill="1" applyBorder="1" applyAlignment="1">
      <alignment horizontal="center" vertical="center"/>
    </xf>
    <xf numFmtId="3" fontId="20" fillId="33" borderId="55" xfId="0" quotePrefix="1" applyNumberFormat="1" applyFont="1" applyFill="1" applyBorder="1" applyAlignment="1">
      <alignment horizontal="center" vertical="center"/>
    </xf>
    <xf numFmtId="3" fontId="20" fillId="33" borderId="56" xfId="0" quotePrefix="1" applyNumberFormat="1" applyFont="1" applyFill="1" applyBorder="1" applyAlignment="1">
      <alignment horizontal="center" vertical="center"/>
    </xf>
    <xf numFmtId="3" fontId="20" fillId="33" borderId="0" xfId="0" quotePrefix="1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66" borderId="57" xfId="0" applyFont="1" applyFill="1" applyBorder="1" applyAlignment="1">
      <alignment horizontal="center" vertical="center"/>
    </xf>
    <xf numFmtId="0" fontId="20" fillId="66" borderId="58" xfId="0" applyFont="1" applyFill="1" applyBorder="1" applyAlignment="1">
      <alignment horizontal="center" vertical="center"/>
    </xf>
    <xf numFmtId="0" fontId="20" fillId="66" borderId="59" xfId="0" applyFont="1" applyFill="1" applyBorder="1" applyAlignment="1">
      <alignment horizontal="center" vertical="center"/>
    </xf>
    <xf numFmtId="0" fontId="20" fillId="66" borderId="60" xfId="0" applyFont="1" applyFill="1" applyBorder="1" applyAlignment="1">
      <alignment horizontal="center" vertical="center"/>
    </xf>
    <xf numFmtId="0" fontId="20" fillId="66" borderId="61" xfId="0" applyFont="1" applyFill="1" applyBorder="1" applyAlignment="1">
      <alignment horizontal="center" vertical="center"/>
    </xf>
    <xf numFmtId="0" fontId="20" fillId="66" borderId="62" xfId="0" applyFont="1" applyFill="1" applyBorder="1" applyAlignment="1">
      <alignment horizontal="center" vertical="center"/>
    </xf>
    <xf numFmtId="0" fontId="20" fillId="65" borderId="11" xfId="2982" applyFont="1" applyFill="1" applyBorder="1" applyAlignment="1">
      <alignment horizontal="center" vertical="center"/>
    </xf>
    <xf numFmtId="0" fontId="20" fillId="59" borderId="11" xfId="2982" applyFont="1" applyFill="1" applyBorder="1" applyAlignment="1">
      <alignment horizontal="center" vertical="center"/>
    </xf>
    <xf numFmtId="0" fontId="20" fillId="60" borderId="17" xfId="2470" applyFont="1" applyFill="1" applyBorder="1" applyAlignment="1">
      <alignment horizontal="center" vertical="center" wrapText="1"/>
    </xf>
    <xf numFmtId="0" fontId="20" fillId="60" borderId="11" xfId="2470" applyFont="1" applyFill="1" applyBorder="1" applyAlignment="1">
      <alignment horizontal="center" vertical="center" wrapText="1"/>
    </xf>
    <xf numFmtId="0" fontId="20" fillId="34" borderId="11" xfId="2982" applyFont="1" applyFill="1" applyBorder="1" applyAlignment="1">
      <alignment horizontal="center" vertical="center"/>
    </xf>
    <xf numFmtId="0" fontId="83" fillId="0" borderId="0" xfId="0" applyFont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20" fillId="33" borderId="30" xfId="0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/>
    </xf>
  </cellXfs>
  <cellStyles count="2986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2 2" xfId="5" xr:uid="{00000000-0005-0000-0000-000003000000}"/>
    <cellStyle name="20% - Accent1 10 2 3" xfId="6" xr:uid="{00000000-0005-0000-0000-000004000000}"/>
    <cellStyle name="20% - Accent1 10 2 4" xfId="7" xr:uid="{00000000-0005-0000-0000-000005000000}"/>
    <cellStyle name="20% - Accent1 10 3" xfId="8" xr:uid="{00000000-0005-0000-0000-000006000000}"/>
    <cellStyle name="20% - Accent1 10 3 2" xfId="9" xr:uid="{00000000-0005-0000-0000-000007000000}"/>
    <cellStyle name="20% - Accent1 10 4" xfId="10" xr:uid="{00000000-0005-0000-0000-000008000000}"/>
    <cellStyle name="20% - Accent1 10 5" xfId="11" xr:uid="{00000000-0005-0000-0000-000009000000}"/>
    <cellStyle name="20% - Accent1 11" xfId="12" xr:uid="{00000000-0005-0000-0000-00000A000000}"/>
    <cellStyle name="20% - Accent1 11 2" xfId="13" xr:uid="{00000000-0005-0000-0000-00000B000000}"/>
    <cellStyle name="20% - Accent1 11 2 2" xfId="14" xr:uid="{00000000-0005-0000-0000-00000C000000}"/>
    <cellStyle name="20% - Accent1 11 2 2 2" xfId="15" xr:uid="{00000000-0005-0000-0000-00000D000000}"/>
    <cellStyle name="20% - Accent1 11 2 3" xfId="16" xr:uid="{00000000-0005-0000-0000-00000E000000}"/>
    <cellStyle name="20% - Accent1 11 2 4" xfId="17" xr:uid="{00000000-0005-0000-0000-00000F000000}"/>
    <cellStyle name="20% - Accent1 11 3" xfId="18" xr:uid="{00000000-0005-0000-0000-000010000000}"/>
    <cellStyle name="20% - Accent1 11 3 2" xfId="19" xr:uid="{00000000-0005-0000-0000-000011000000}"/>
    <cellStyle name="20% - Accent1 11 4" xfId="20" xr:uid="{00000000-0005-0000-0000-000012000000}"/>
    <cellStyle name="20% - Accent1 11 5" xfId="21" xr:uid="{00000000-0005-0000-0000-000013000000}"/>
    <cellStyle name="20% - Accent1 12" xfId="22" xr:uid="{00000000-0005-0000-0000-000014000000}"/>
    <cellStyle name="20% - Accent1 12 2" xfId="23" xr:uid="{00000000-0005-0000-0000-000015000000}"/>
    <cellStyle name="20% - Accent1 12 2 2" xfId="24" xr:uid="{00000000-0005-0000-0000-000016000000}"/>
    <cellStyle name="20% - Accent1 12 3" xfId="25" xr:uid="{00000000-0005-0000-0000-000017000000}"/>
    <cellStyle name="20% - Accent1 12 4" xfId="26" xr:uid="{00000000-0005-0000-0000-000018000000}"/>
    <cellStyle name="20% - Accent1 13" xfId="27" xr:uid="{00000000-0005-0000-0000-000019000000}"/>
    <cellStyle name="20% - Accent1 13 2" xfId="28" xr:uid="{00000000-0005-0000-0000-00001A000000}"/>
    <cellStyle name="20% - Accent1 14" xfId="29" xr:uid="{00000000-0005-0000-0000-00001B000000}"/>
    <cellStyle name="20% - Accent1 14 2" xfId="30" xr:uid="{00000000-0005-0000-0000-00001C000000}"/>
    <cellStyle name="20% - Accent1 15" xfId="31" xr:uid="{00000000-0005-0000-0000-00001D000000}"/>
    <cellStyle name="20% - Accent1 16" xfId="32" xr:uid="{00000000-0005-0000-0000-00001E000000}"/>
    <cellStyle name="20% - Accent1 2" xfId="33" xr:uid="{00000000-0005-0000-0000-00001F000000}"/>
    <cellStyle name="20% - Accent1 2 2" xfId="34" xr:uid="{00000000-0005-0000-0000-000020000000}"/>
    <cellStyle name="20% - Accent1 2 2 2" xfId="35" xr:uid="{00000000-0005-0000-0000-000021000000}"/>
    <cellStyle name="20% - Accent1 2 2 2 2" xfId="36" xr:uid="{00000000-0005-0000-0000-000022000000}"/>
    <cellStyle name="20% - Accent1 2 2 2 2 2" xfId="37" xr:uid="{00000000-0005-0000-0000-000023000000}"/>
    <cellStyle name="20% - Accent1 2 2 2 2 2 2" xfId="38" xr:uid="{00000000-0005-0000-0000-000024000000}"/>
    <cellStyle name="20% - Accent1 2 2 2 2 3" xfId="39" xr:uid="{00000000-0005-0000-0000-000025000000}"/>
    <cellStyle name="20% - Accent1 2 2 2 2 4" xfId="40" xr:uid="{00000000-0005-0000-0000-000026000000}"/>
    <cellStyle name="20% - Accent1 2 2 2 3" xfId="41" xr:uid="{00000000-0005-0000-0000-000027000000}"/>
    <cellStyle name="20% - Accent1 2 2 2 3 2" xfId="42" xr:uid="{00000000-0005-0000-0000-000028000000}"/>
    <cellStyle name="20% - Accent1 2 2 2 4" xfId="43" xr:uid="{00000000-0005-0000-0000-000029000000}"/>
    <cellStyle name="20% - Accent1 2 2 2 5" xfId="44" xr:uid="{00000000-0005-0000-0000-00002A000000}"/>
    <cellStyle name="20% - Accent1 2 2 3" xfId="45" xr:uid="{00000000-0005-0000-0000-00002B000000}"/>
    <cellStyle name="20% - Accent1 2 2 3 2" xfId="46" xr:uid="{00000000-0005-0000-0000-00002C000000}"/>
    <cellStyle name="20% - Accent1 2 2 3 2 2" xfId="47" xr:uid="{00000000-0005-0000-0000-00002D000000}"/>
    <cellStyle name="20% - Accent1 2 2 3 3" xfId="48" xr:uid="{00000000-0005-0000-0000-00002E000000}"/>
    <cellStyle name="20% - Accent1 2 2 3 4" xfId="49" xr:uid="{00000000-0005-0000-0000-00002F000000}"/>
    <cellStyle name="20% - Accent1 2 2 4" xfId="50" xr:uid="{00000000-0005-0000-0000-000030000000}"/>
    <cellStyle name="20% - Accent1 2 2 4 2" xfId="51" xr:uid="{00000000-0005-0000-0000-000031000000}"/>
    <cellStyle name="20% - Accent1 2 2 5" xfId="52" xr:uid="{00000000-0005-0000-0000-000032000000}"/>
    <cellStyle name="20% - Accent1 2 2 5 2" xfId="53" xr:uid="{00000000-0005-0000-0000-000033000000}"/>
    <cellStyle name="20% - Accent1 2 2 6" xfId="54" xr:uid="{00000000-0005-0000-0000-000034000000}"/>
    <cellStyle name="20% - Accent1 2 2 7" xfId="55" xr:uid="{00000000-0005-0000-0000-000035000000}"/>
    <cellStyle name="20% - Accent1 2 3" xfId="56" xr:uid="{00000000-0005-0000-0000-000036000000}"/>
    <cellStyle name="20% - Accent1 2 3 2" xfId="57" xr:uid="{00000000-0005-0000-0000-000037000000}"/>
    <cellStyle name="20% - Accent1 2 3 2 2" xfId="58" xr:uid="{00000000-0005-0000-0000-000038000000}"/>
    <cellStyle name="20% - Accent1 2 3 2 2 2" xfId="59" xr:uid="{00000000-0005-0000-0000-000039000000}"/>
    <cellStyle name="20% - Accent1 2 3 2 3" xfId="60" xr:uid="{00000000-0005-0000-0000-00003A000000}"/>
    <cellStyle name="20% - Accent1 2 3 2 4" xfId="61" xr:uid="{00000000-0005-0000-0000-00003B000000}"/>
    <cellStyle name="20% - Accent1 2 3 3" xfId="62" xr:uid="{00000000-0005-0000-0000-00003C000000}"/>
    <cellStyle name="20% - Accent1 2 3 3 2" xfId="63" xr:uid="{00000000-0005-0000-0000-00003D000000}"/>
    <cellStyle name="20% - Accent1 2 3 4" xfId="64" xr:uid="{00000000-0005-0000-0000-00003E000000}"/>
    <cellStyle name="20% - Accent1 2 3 5" xfId="65" xr:uid="{00000000-0005-0000-0000-00003F000000}"/>
    <cellStyle name="20% - Accent1 2 4" xfId="66" xr:uid="{00000000-0005-0000-0000-000040000000}"/>
    <cellStyle name="20% - Accent1 2 4 2" xfId="67" xr:uid="{00000000-0005-0000-0000-000041000000}"/>
    <cellStyle name="20% - Accent1 2 4 2 2" xfId="68" xr:uid="{00000000-0005-0000-0000-000042000000}"/>
    <cellStyle name="20% - Accent1 2 4 3" xfId="69" xr:uid="{00000000-0005-0000-0000-000043000000}"/>
    <cellStyle name="20% - Accent1 2 4 4" xfId="70" xr:uid="{00000000-0005-0000-0000-000044000000}"/>
    <cellStyle name="20% - Accent1 2 5" xfId="71" xr:uid="{00000000-0005-0000-0000-000045000000}"/>
    <cellStyle name="20% - Accent1 2 5 2" xfId="72" xr:uid="{00000000-0005-0000-0000-000046000000}"/>
    <cellStyle name="20% - Accent1 2 6" xfId="73" xr:uid="{00000000-0005-0000-0000-000047000000}"/>
    <cellStyle name="20% - Accent1 2 6 2" xfId="74" xr:uid="{00000000-0005-0000-0000-000048000000}"/>
    <cellStyle name="20% - Accent1 2 7" xfId="75" xr:uid="{00000000-0005-0000-0000-000049000000}"/>
    <cellStyle name="20% - Accent1 2 8" xfId="76" xr:uid="{00000000-0005-0000-0000-00004A000000}"/>
    <cellStyle name="20% - Accent1 3" xfId="77" xr:uid="{00000000-0005-0000-0000-00004B000000}"/>
    <cellStyle name="20% - Accent1 3 2" xfId="78" xr:uid="{00000000-0005-0000-0000-00004C000000}"/>
    <cellStyle name="20% - Accent1 4" xfId="79" xr:uid="{00000000-0005-0000-0000-00004D000000}"/>
    <cellStyle name="20% - Accent1 4 2" xfId="80" xr:uid="{00000000-0005-0000-0000-00004E000000}"/>
    <cellStyle name="20% - Accent1 4 2 2" xfId="81" xr:uid="{00000000-0005-0000-0000-00004F000000}"/>
    <cellStyle name="20% - Accent1 4 2 2 2" xfId="82" xr:uid="{00000000-0005-0000-0000-000050000000}"/>
    <cellStyle name="20% - Accent1 4 2 2 2 2" xfId="83" xr:uid="{00000000-0005-0000-0000-000051000000}"/>
    <cellStyle name="20% - Accent1 4 2 2 3" xfId="84" xr:uid="{00000000-0005-0000-0000-000052000000}"/>
    <cellStyle name="20% - Accent1 4 2 2 4" xfId="85" xr:uid="{00000000-0005-0000-0000-000053000000}"/>
    <cellStyle name="20% - Accent1 4 2 3" xfId="86" xr:uid="{00000000-0005-0000-0000-000054000000}"/>
    <cellStyle name="20% - Accent1 4 2 3 2" xfId="87" xr:uid="{00000000-0005-0000-0000-000055000000}"/>
    <cellStyle name="20% - Accent1 4 2 4" xfId="88" xr:uid="{00000000-0005-0000-0000-000056000000}"/>
    <cellStyle name="20% - Accent1 4 2 5" xfId="89" xr:uid="{00000000-0005-0000-0000-000057000000}"/>
    <cellStyle name="20% - Accent1 4 3" xfId="90" xr:uid="{00000000-0005-0000-0000-000058000000}"/>
    <cellStyle name="20% - Accent1 4 3 2" xfId="91" xr:uid="{00000000-0005-0000-0000-000059000000}"/>
    <cellStyle name="20% - Accent1 4 3 2 2" xfId="92" xr:uid="{00000000-0005-0000-0000-00005A000000}"/>
    <cellStyle name="20% - Accent1 4 3 3" xfId="93" xr:uid="{00000000-0005-0000-0000-00005B000000}"/>
    <cellStyle name="20% - Accent1 4 3 4" xfId="94" xr:uid="{00000000-0005-0000-0000-00005C000000}"/>
    <cellStyle name="20% - Accent1 4 4" xfId="95" xr:uid="{00000000-0005-0000-0000-00005D000000}"/>
    <cellStyle name="20% - Accent1 4 4 2" xfId="96" xr:uid="{00000000-0005-0000-0000-00005E000000}"/>
    <cellStyle name="20% - Accent1 4 5" xfId="97" xr:uid="{00000000-0005-0000-0000-00005F000000}"/>
    <cellStyle name="20% - Accent1 4 5 2" xfId="98" xr:uid="{00000000-0005-0000-0000-000060000000}"/>
    <cellStyle name="20% - Accent1 4 6" xfId="99" xr:uid="{00000000-0005-0000-0000-000061000000}"/>
    <cellStyle name="20% - Accent1 4 7" xfId="100" xr:uid="{00000000-0005-0000-0000-000062000000}"/>
    <cellStyle name="20% - Accent1 5" xfId="101" xr:uid="{00000000-0005-0000-0000-000063000000}"/>
    <cellStyle name="20% - Accent1 5 2" xfId="102" xr:uid="{00000000-0005-0000-0000-000064000000}"/>
    <cellStyle name="20% - Accent1 5 2 2" xfId="103" xr:uid="{00000000-0005-0000-0000-000065000000}"/>
    <cellStyle name="20% - Accent1 5 2 2 2" xfId="104" xr:uid="{00000000-0005-0000-0000-000066000000}"/>
    <cellStyle name="20% - Accent1 5 2 2 2 2" xfId="105" xr:uid="{00000000-0005-0000-0000-000067000000}"/>
    <cellStyle name="20% - Accent1 5 2 2 3" xfId="106" xr:uid="{00000000-0005-0000-0000-000068000000}"/>
    <cellStyle name="20% - Accent1 5 2 2 4" xfId="107" xr:uid="{00000000-0005-0000-0000-000069000000}"/>
    <cellStyle name="20% - Accent1 5 2 3" xfId="108" xr:uid="{00000000-0005-0000-0000-00006A000000}"/>
    <cellStyle name="20% - Accent1 5 2 3 2" xfId="109" xr:uid="{00000000-0005-0000-0000-00006B000000}"/>
    <cellStyle name="20% - Accent1 5 2 4" xfId="110" xr:uid="{00000000-0005-0000-0000-00006C000000}"/>
    <cellStyle name="20% - Accent1 5 2 5" xfId="111" xr:uid="{00000000-0005-0000-0000-00006D000000}"/>
    <cellStyle name="20% - Accent1 5 3" xfId="112" xr:uid="{00000000-0005-0000-0000-00006E000000}"/>
    <cellStyle name="20% - Accent1 5 3 2" xfId="113" xr:uid="{00000000-0005-0000-0000-00006F000000}"/>
    <cellStyle name="20% - Accent1 5 3 2 2" xfId="114" xr:uid="{00000000-0005-0000-0000-000070000000}"/>
    <cellStyle name="20% - Accent1 5 3 3" xfId="115" xr:uid="{00000000-0005-0000-0000-000071000000}"/>
    <cellStyle name="20% - Accent1 5 3 4" xfId="116" xr:uid="{00000000-0005-0000-0000-000072000000}"/>
    <cellStyle name="20% - Accent1 5 4" xfId="117" xr:uid="{00000000-0005-0000-0000-000073000000}"/>
    <cellStyle name="20% - Accent1 5 4 2" xfId="118" xr:uid="{00000000-0005-0000-0000-000074000000}"/>
    <cellStyle name="20% - Accent1 5 5" xfId="119" xr:uid="{00000000-0005-0000-0000-000075000000}"/>
    <cellStyle name="20% - Accent1 5 5 2" xfId="120" xr:uid="{00000000-0005-0000-0000-000076000000}"/>
    <cellStyle name="20% - Accent1 5 6" xfId="121" xr:uid="{00000000-0005-0000-0000-000077000000}"/>
    <cellStyle name="20% - Accent1 5 7" xfId="122" xr:uid="{00000000-0005-0000-0000-000078000000}"/>
    <cellStyle name="20% - Accent1 6" xfId="123" xr:uid="{00000000-0005-0000-0000-000079000000}"/>
    <cellStyle name="20% - Accent1 7" xfId="124" xr:uid="{00000000-0005-0000-0000-00007A000000}"/>
    <cellStyle name="20% - Accent1 7 2" xfId="125" xr:uid="{00000000-0005-0000-0000-00007B000000}"/>
    <cellStyle name="20% - Accent1 7 2 2" xfId="126" xr:uid="{00000000-0005-0000-0000-00007C000000}"/>
    <cellStyle name="20% - Accent1 7 2 2 2" xfId="127" xr:uid="{00000000-0005-0000-0000-00007D000000}"/>
    <cellStyle name="20% - Accent1 7 2 2 2 2" xfId="128" xr:uid="{00000000-0005-0000-0000-00007E000000}"/>
    <cellStyle name="20% - Accent1 7 2 2 3" xfId="129" xr:uid="{00000000-0005-0000-0000-00007F000000}"/>
    <cellStyle name="20% - Accent1 7 2 2 4" xfId="130" xr:uid="{00000000-0005-0000-0000-000080000000}"/>
    <cellStyle name="20% - Accent1 7 2 3" xfId="131" xr:uid="{00000000-0005-0000-0000-000081000000}"/>
    <cellStyle name="20% - Accent1 7 2 3 2" xfId="132" xr:uid="{00000000-0005-0000-0000-000082000000}"/>
    <cellStyle name="20% - Accent1 7 2 4" xfId="133" xr:uid="{00000000-0005-0000-0000-000083000000}"/>
    <cellStyle name="20% - Accent1 7 2 5" xfId="134" xr:uid="{00000000-0005-0000-0000-000084000000}"/>
    <cellStyle name="20% - Accent1 7 3" xfId="135" xr:uid="{00000000-0005-0000-0000-000085000000}"/>
    <cellStyle name="20% - Accent1 7 3 2" xfId="136" xr:uid="{00000000-0005-0000-0000-000086000000}"/>
    <cellStyle name="20% - Accent1 7 3 2 2" xfId="137" xr:uid="{00000000-0005-0000-0000-000087000000}"/>
    <cellStyle name="20% - Accent1 7 3 3" xfId="138" xr:uid="{00000000-0005-0000-0000-000088000000}"/>
    <cellStyle name="20% - Accent1 7 3 4" xfId="139" xr:uid="{00000000-0005-0000-0000-000089000000}"/>
    <cellStyle name="20% - Accent1 7 4" xfId="140" xr:uid="{00000000-0005-0000-0000-00008A000000}"/>
    <cellStyle name="20% - Accent1 7 4 2" xfId="141" xr:uid="{00000000-0005-0000-0000-00008B000000}"/>
    <cellStyle name="20% - Accent1 7 5" xfId="142" xr:uid="{00000000-0005-0000-0000-00008C000000}"/>
    <cellStyle name="20% - Accent1 7 6" xfId="143" xr:uid="{00000000-0005-0000-0000-00008D000000}"/>
    <cellStyle name="20% - Accent1 8" xfId="144" xr:uid="{00000000-0005-0000-0000-00008E000000}"/>
    <cellStyle name="20% - Accent1 8 2" xfId="145" xr:uid="{00000000-0005-0000-0000-00008F000000}"/>
    <cellStyle name="20% - Accent1 8 2 2" xfId="146" xr:uid="{00000000-0005-0000-0000-000090000000}"/>
    <cellStyle name="20% - Accent1 8 2 2 2" xfId="147" xr:uid="{00000000-0005-0000-0000-000091000000}"/>
    <cellStyle name="20% - Accent1 8 2 2 2 2" xfId="148" xr:uid="{00000000-0005-0000-0000-000092000000}"/>
    <cellStyle name="20% - Accent1 8 2 2 3" xfId="149" xr:uid="{00000000-0005-0000-0000-000093000000}"/>
    <cellStyle name="20% - Accent1 8 2 2 4" xfId="150" xr:uid="{00000000-0005-0000-0000-000094000000}"/>
    <cellStyle name="20% - Accent1 8 2 3" xfId="151" xr:uid="{00000000-0005-0000-0000-000095000000}"/>
    <cellStyle name="20% - Accent1 8 2 3 2" xfId="152" xr:uid="{00000000-0005-0000-0000-000096000000}"/>
    <cellStyle name="20% - Accent1 8 2 4" xfId="153" xr:uid="{00000000-0005-0000-0000-000097000000}"/>
    <cellStyle name="20% - Accent1 8 2 5" xfId="154" xr:uid="{00000000-0005-0000-0000-000098000000}"/>
    <cellStyle name="20% - Accent1 8 3" xfId="155" xr:uid="{00000000-0005-0000-0000-000099000000}"/>
    <cellStyle name="20% - Accent1 8 3 2" xfId="156" xr:uid="{00000000-0005-0000-0000-00009A000000}"/>
    <cellStyle name="20% - Accent1 8 3 2 2" xfId="157" xr:uid="{00000000-0005-0000-0000-00009B000000}"/>
    <cellStyle name="20% - Accent1 8 3 3" xfId="158" xr:uid="{00000000-0005-0000-0000-00009C000000}"/>
    <cellStyle name="20% - Accent1 8 3 4" xfId="159" xr:uid="{00000000-0005-0000-0000-00009D000000}"/>
    <cellStyle name="20% - Accent1 8 4" xfId="160" xr:uid="{00000000-0005-0000-0000-00009E000000}"/>
    <cellStyle name="20% - Accent1 8 4 2" xfId="161" xr:uid="{00000000-0005-0000-0000-00009F000000}"/>
    <cellStyle name="20% - Accent1 8 5" xfId="162" xr:uid="{00000000-0005-0000-0000-0000A0000000}"/>
    <cellStyle name="20% - Accent1 8 6" xfId="163" xr:uid="{00000000-0005-0000-0000-0000A1000000}"/>
    <cellStyle name="20% - Accent1 9" xfId="164" xr:uid="{00000000-0005-0000-0000-0000A2000000}"/>
    <cellStyle name="20% - Accent1 9 2" xfId="165" xr:uid="{00000000-0005-0000-0000-0000A3000000}"/>
    <cellStyle name="20% - Accent1 9 2 2" xfId="166" xr:uid="{00000000-0005-0000-0000-0000A4000000}"/>
    <cellStyle name="20% - Accent1 9 2 2 2" xfId="167" xr:uid="{00000000-0005-0000-0000-0000A5000000}"/>
    <cellStyle name="20% - Accent1 9 2 2 2 2" xfId="168" xr:uid="{00000000-0005-0000-0000-0000A6000000}"/>
    <cellStyle name="20% - Accent1 9 2 2 3" xfId="169" xr:uid="{00000000-0005-0000-0000-0000A7000000}"/>
    <cellStyle name="20% - Accent1 9 2 2 4" xfId="170" xr:uid="{00000000-0005-0000-0000-0000A8000000}"/>
    <cellStyle name="20% - Accent1 9 2 3" xfId="171" xr:uid="{00000000-0005-0000-0000-0000A9000000}"/>
    <cellStyle name="20% - Accent1 9 2 3 2" xfId="172" xr:uid="{00000000-0005-0000-0000-0000AA000000}"/>
    <cellStyle name="20% - Accent1 9 2 4" xfId="173" xr:uid="{00000000-0005-0000-0000-0000AB000000}"/>
    <cellStyle name="20% - Accent1 9 2 5" xfId="174" xr:uid="{00000000-0005-0000-0000-0000AC000000}"/>
    <cellStyle name="20% - Accent1 9 3" xfId="175" xr:uid="{00000000-0005-0000-0000-0000AD000000}"/>
    <cellStyle name="20% - Accent1 9 3 2" xfId="176" xr:uid="{00000000-0005-0000-0000-0000AE000000}"/>
    <cellStyle name="20% - Accent1 9 3 2 2" xfId="177" xr:uid="{00000000-0005-0000-0000-0000AF000000}"/>
    <cellStyle name="20% - Accent1 9 3 3" xfId="178" xr:uid="{00000000-0005-0000-0000-0000B0000000}"/>
    <cellStyle name="20% - Accent1 9 3 4" xfId="179" xr:uid="{00000000-0005-0000-0000-0000B1000000}"/>
    <cellStyle name="20% - Accent1 9 4" xfId="180" xr:uid="{00000000-0005-0000-0000-0000B2000000}"/>
    <cellStyle name="20% - Accent1 9 4 2" xfId="181" xr:uid="{00000000-0005-0000-0000-0000B3000000}"/>
    <cellStyle name="20% - Accent1 9 5" xfId="182" xr:uid="{00000000-0005-0000-0000-0000B4000000}"/>
    <cellStyle name="20% - Accent1 9 6" xfId="183" xr:uid="{00000000-0005-0000-0000-0000B5000000}"/>
    <cellStyle name="20% - Accent2 10" xfId="184" xr:uid="{00000000-0005-0000-0000-0000B6000000}"/>
    <cellStyle name="20% - Accent2 10 2" xfId="185" xr:uid="{00000000-0005-0000-0000-0000B7000000}"/>
    <cellStyle name="20% - Accent2 10 2 2" xfId="186" xr:uid="{00000000-0005-0000-0000-0000B8000000}"/>
    <cellStyle name="20% - Accent2 10 2 2 2" xfId="187" xr:uid="{00000000-0005-0000-0000-0000B9000000}"/>
    <cellStyle name="20% - Accent2 10 2 3" xfId="188" xr:uid="{00000000-0005-0000-0000-0000BA000000}"/>
    <cellStyle name="20% - Accent2 10 2 4" xfId="189" xr:uid="{00000000-0005-0000-0000-0000BB000000}"/>
    <cellStyle name="20% - Accent2 10 3" xfId="190" xr:uid="{00000000-0005-0000-0000-0000BC000000}"/>
    <cellStyle name="20% - Accent2 10 3 2" xfId="191" xr:uid="{00000000-0005-0000-0000-0000BD000000}"/>
    <cellStyle name="20% - Accent2 10 4" xfId="192" xr:uid="{00000000-0005-0000-0000-0000BE000000}"/>
    <cellStyle name="20% - Accent2 10 5" xfId="193" xr:uid="{00000000-0005-0000-0000-0000BF000000}"/>
    <cellStyle name="20% - Accent2 11" xfId="194" xr:uid="{00000000-0005-0000-0000-0000C0000000}"/>
    <cellStyle name="20% - Accent2 11 2" xfId="195" xr:uid="{00000000-0005-0000-0000-0000C1000000}"/>
    <cellStyle name="20% - Accent2 11 2 2" xfId="196" xr:uid="{00000000-0005-0000-0000-0000C2000000}"/>
    <cellStyle name="20% - Accent2 11 2 2 2" xfId="197" xr:uid="{00000000-0005-0000-0000-0000C3000000}"/>
    <cellStyle name="20% - Accent2 11 2 3" xfId="198" xr:uid="{00000000-0005-0000-0000-0000C4000000}"/>
    <cellStyle name="20% - Accent2 11 2 4" xfId="199" xr:uid="{00000000-0005-0000-0000-0000C5000000}"/>
    <cellStyle name="20% - Accent2 11 3" xfId="200" xr:uid="{00000000-0005-0000-0000-0000C6000000}"/>
    <cellStyle name="20% - Accent2 11 3 2" xfId="201" xr:uid="{00000000-0005-0000-0000-0000C7000000}"/>
    <cellStyle name="20% - Accent2 11 4" xfId="202" xr:uid="{00000000-0005-0000-0000-0000C8000000}"/>
    <cellStyle name="20% - Accent2 11 5" xfId="203" xr:uid="{00000000-0005-0000-0000-0000C9000000}"/>
    <cellStyle name="20% - Accent2 12" xfId="204" xr:uid="{00000000-0005-0000-0000-0000CA000000}"/>
    <cellStyle name="20% - Accent2 12 2" xfId="205" xr:uid="{00000000-0005-0000-0000-0000CB000000}"/>
    <cellStyle name="20% - Accent2 12 2 2" xfId="206" xr:uid="{00000000-0005-0000-0000-0000CC000000}"/>
    <cellStyle name="20% - Accent2 12 3" xfId="207" xr:uid="{00000000-0005-0000-0000-0000CD000000}"/>
    <cellStyle name="20% - Accent2 12 4" xfId="208" xr:uid="{00000000-0005-0000-0000-0000CE000000}"/>
    <cellStyle name="20% - Accent2 13" xfId="209" xr:uid="{00000000-0005-0000-0000-0000CF000000}"/>
    <cellStyle name="20% - Accent2 13 2" xfId="210" xr:uid="{00000000-0005-0000-0000-0000D0000000}"/>
    <cellStyle name="20% - Accent2 14" xfId="211" xr:uid="{00000000-0005-0000-0000-0000D1000000}"/>
    <cellStyle name="20% - Accent2 14 2" xfId="212" xr:uid="{00000000-0005-0000-0000-0000D2000000}"/>
    <cellStyle name="20% - Accent2 15" xfId="213" xr:uid="{00000000-0005-0000-0000-0000D3000000}"/>
    <cellStyle name="20% - Accent2 16" xfId="214" xr:uid="{00000000-0005-0000-0000-0000D4000000}"/>
    <cellStyle name="20% - Accent2 2" xfId="215" xr:uid="{00000000-0005-0000-0000-0000D5000000}"/>
    <cellStyle name="20% - Accent2 2 2" xfId="216" xr:uid="{00000000-0005-0000-0000-0000D6000000}"/>
    <cellStyle name="20% - Accent2 2 2 2" xfId="217" xr:uid="{00000000-0005-0000-0000-0000D7000000}"/>
    <cellStyle name="20% - Accent2 2 2 2 2" xfId="218" xr:uid="{00000000-0005-0000-0000-0000D8000000}"/>
    <cellStyle name="20% - Accent2 2 2 2 2 2" xfId="219" xr:uid="{00000000-0005-0000-0000-0000D9000000}"/>
    <cellStyle name="20% - Accent2 2 2 2 2 2 2" xfId="220" xr:uid="{00000000-0005-0000-0000-0000DA000000}"/>
    <cellStyle name="20% - Accent2 2 2 2 2 3" xfId="221" xr:uid="{00000000-0005-0000-0000-0000DB000000}"/>
    <cellStyle name="20% - Accent2 2 2 2 2 4" xfId="222" xr:uid="{00000000-0005-0000-0000-0000DC000000}"/>
    <cellStyle name="20% - Accent2 2 2 2 3" xfId="223" xr:uid="{00000000-0005-0000-0000-0000DD000000}"/>
    <cellStyle name="20% - Accent2 2 2 2 3 2" xfId="224" xr:uid="{00000000-0005-0000-0000-0000DE000000}"/>
    <cellStyle name="20% - Accent2 2 2 2 4" xfId="225" xr:uid="{00000000-0005-0000-0000-0000DF000000}"/>
    <cellStyle name="20% - Accent2 2 2 2 5" xfId="226" xr:uid="{00000000-0005-0000-0000-0000E0000000}"/>
    <cellStyle name="20% - Accent2 2 2 3" xfId="227" xr:uid="{00000000-0005-0000-0000-0000E1000000}"/>
    <cellStyle name="20% - Accent2 2 2 3 2" xfId="228" xr:uid="{00000000-0005-0000-0000-0000E2000000}"/>
    <cellStyle name="20% - Accent2 2 2 3 2 2" xfId="229" xr:uid="{00000000-0005-0000-0000-0000E3000000}"/>
    <cellStyle name="20% - Accent2 2 2 3 3" xfId="230" xr:uid="{00000000-0005-0000-0000-0000E4000000}"/>
    <cellStyle name="20% - Accent2 2 2 3 4" xfId="231" xr:uid="{00000000-0005-0000-0000-0000E5000000}"/>
    <cellStyle name="20% - Accent2 2 2 4" xfId="232" xr:uid="{00000000-0005-0000-0000-0000E6000000}"/>
    <cellStyle name="20% - Accent2 2 2 4 2" xfId="233" xr:uid="{00000000-0005-0000-0000-0000E7000000}"/>
    <cellStyle name="20% - Accent2 2 2 5" xfId="234" xr:uid="{00000000-0005-0000-0000-0000E8000000}"/>
    <cellStyle name="20% - Accent2 2 2 5 2" xfId="235" xr:uid="{00000000-0005-0000-0000-0000E9000000}"/>
    <cellStyle name="20% - Accent2 2 2 6" xfId="236" xr:uid="{00000000-0005-0000-0000-0000EA000000}"/>
    <cellStyle name="20% - Accent2 2 2 7" xfId="237" xr:uid="{00000000-0005-0000-0000-0000EB000000}"/>
    <cellStyle name="20% - Accent2 2 3" xfId="238" xr:uid="{00000000-0005-0000-0000-0000EC000000}"/>
    <cellStyle name="20% - Accent2 2 3 2" xfId="239" xr:uid="{00000000-0005-0000-0000-0000ED000000}"/>
    <cellStyle name="20% - Accent2 2 3 2 2" xfId="240" xr:uid="{00000000-0005-0000-0000-0000EE000000}"/>
    <cellStyle name="20% - Accent2 2 3 2 2 2" xfId="241" xr:uid="{00000000-0005-0000-0000-0000EF000000}"/>
    <cellStyle name="20% - Accent2 2 3 2 3" xfId="242" xr:uid="{00000000-0005-0000-0000-0000F0000000}"/>
    <cellStyle name="20% - Accent2 2 3 2 4" xfId="243" xr:uid="{00000000-0005-0000-0000-0000F1000000}"/>
    <cellStyle name="20% - Accent2 2 3 3" xfId="244" xr:uid="{00000000-0005-0000-0000-0000F2000000}"/>
    <cellStyle name="20% - Accent2 2 3 3 2" xfId="245" xr:uid="{00000000-0005-0000-0000-0000F3000000}"/>
    <cellStyle name="20% - Accent2 2 3 4" xfId="246" xr:uid="{00000000-0005-0000-0000-0000F4000000}"/>
    <cellStyle name="20% - Accent2 2 3 5" xfId="247" xr:uid="{00000000-0005-0000-0000-0000F5000000}"/>
    <cellStyle name="20% - Accent2 2 4" xfId="248" xr:uid="{00000000-0005-0000-0000-0000F6000000}"/>
    <cellStyle name="20% - Accent2 2 4 2" xfId="249" xr:uid="{00000000-0005-0000-0000-0000F7000000}"/>
    <cellStyle name="20% - Accent2 2 4 2 2" xfId="250" xr:uid="{00000000-0005-0000-0000-0000F8000000}"/>
    <cellStyle name="20% - Accent2 2 4 3" xfId="251" xr:uid="{00000000-0005-0000-0000-0000F9000000}"/>
    <cellStyle name="20% - Accent2 2 4 4" xfId="252" xr:uid="{00000000-0005-0000-0000-0000FA000000}"/>
    <cellStyle name="20% - Accent2 2 5" xfId="253" xr:uid="{00000000-0005-0000-0000-0000FB000000}"/>
    <cellStyle name="20% - Accent2 2 5 2" xfId="254" xr:uid="{00000000-0005-0000-0000-0000FC000000}"/>
    <cellStyle name="20% - Accent2 2 6" xfId="255" xr:uid="{00000000-0005-0000-0000-0000FD000000}"/>
    <cellStyle name="20% - Accent2 2 6 2" xfId="256" xr:uid="{00000000-0005-0000-0000-0000FE000000}"/>
    <cellStyle name="20% - Accent2 2 7" xfId="257" xr:uid="{00000000-0005-0000-0000-0000FF000000}"/>
    <cellStyle name="20% - Accent2 2 8" xfId="258" xr:uid="{00000000-0005-0000-0000-000000010000}"/>
    <cellStyle name="20% - Accent2 3" xfId="259" xr:uid="{00000000-0005-0000-0000-000001010000}"/>
    <cellStyle name="20% - Accent2 3 2" xfId="260" xr:uid="{00000000-0005-0000-0000-000002010000}"/>
    <cellStyle name="20% - Accent2 4" xfId="261" xr:uid="{00000000-0005-0000-0000-000003010000}"/>
    <cellStyle name="20% - Accent2 4 2" xfId="262" xr:uid="{00000000-0005-0000-0000-000004010000}"/>
    <cellStyle name="20% - Accent2 4 2 2" xfId="263" xr:uid="{00000000-0005-0000-0000-000005010000}"/>
    <cellStyle name="20% - Accent2 4 2 2 2" xfId="264" xr:uid="{00000000-0005-0000-0000-000006010000}"/>
    <cellStyle name="20% - Accent2 4 2 2 2 2" xfId="265" xr:uid="{00000000-0005-0000-0000-000007010000}"/>
    <cellStyle name="20% - Accent2 4 2 2 3" xfId="266" xr:uid="{00000000-0005-0000-0000-000008010000}"/>
    <cellStyle name="20% - Accent2 4 2 2 4" xfId="267" xr:uid="{00000000-0005-0000-0000-000009010000}"/>
    <cellStyle name="20% - Accent2 4 2 3" xfId="268" xr:uid="{00000000-0005-0000-0000-00000A010000}"/>
    <cellStyle name="20% - Accent2 4 2 3 2" xfId="269" xr:uid="{00000000-0005-0000-0000-00000B010000}"/>
    <cellStyle name="20% - Accent2 4 2 4" xfId="270" xr:uid="{00000000-0005-0000-0000-00000C010000}"/>
    <cellStyle name="20% - Accent2 4 2 5" xfId="271" xr:uid="{00000000-0005-0000-0000-00000D010000}"/>
    <cellStyle name="20% - Accent2 4 3" xfId="272" xr:uid="{00000000-0005-0000-0000-00000E010000}"/>
    <cellStyle name="20% - Accent2 4 3 2" xfId="273" xr:uid="{00000000-0005-0000-0000-00000F010000}"/>
    <cellStyle name="20% - Accent2 4 3 2 2" xfId="274" xr:uid="{00000000-0005-0000-0000-000010010000}"/>
    <cellStyle name="20% - Accent2 4 3 3" xfId="275" xr:uid="{00000000-0005-0000-0000-000011010000}"/>
    <cellStyle name="20% - Accent2 4 3 4" xfId="276" xr:uid="{00000000-0005-0000-0000-000012010000}"/>
    <cellStyle name="20% - Accent2 4 4" xfId="277" xr:uid="{00000000-0005-0000-0000-000013010000}"/>
    <cellStyle name="20% - Accent2 4 4 2" xfId="278" xr:uid="{00000000-0005-0000-0000-000014010000}"/>
    <cellStyle name="20% - Accent2 4 5" xfId="279" xr:uid="{00000000-0005-0000-0000-000015010000}"/>
    <cellStyle name="20% - Accent2 4 5 2" xfId="280" xr:uid="{00000000-0005-0000-0000-000016010000}"/>
    <cellStyle name="20% - Accent2 4 6" xfId="281" xr:uid="{00000000-0005-0000-0000-000017010000}"/>
    <cellStyle name="20% - Accent2 4 7" xfId="282" xr:uid="{00000000-0005-0000-0000-000018010000}"/>
    <cellStyle name="20% - Accent2 5" xfId="283" xr:uid="{00000000-0005-0000-0000-000019010000}"/>
    <cellStyle name="20% - Accent2 5 2" xfId="284" xr:uid="{00000000-0005-0000-0000-00001A010000}"/>
    <cellStyle name="20% - Accent2 5 2 2" xfId="285" xr:uid="{00000000-0005-0000-0000-00001B010000}"/>
    <cellStyle name="20% - Accent2 5 2 2 2" xfId="286" xr:uid="{00000000-0005-0000-0000-00001C010000}"/>
    <cellStyle name="20% - Accent2 5 2 2 2 2" xfId="287" xr:uid="{00000000-0005-0000-0000-00001D010000}"/>
    <cellStyle name="20% - Accent2 5 2 2 3" xfId="288" xr:uid="{00000000-0005-0000-0000-00001E010000}"/>
    <cellStyle name="20% - Accent2 5 2 2 4" xfId="289" xr:uid="{00000000-0005-0000-0000-00001F010000}"/>
    <cellStyle name="20% - Accent2 5 2 3" xfId="290" xr:uid="{00000000-0005-0000-0000-000020010000}"/>
    <cellStyle name="20% - Accent2 5 2 3 2" xfId="291" xr:uid="{00000000-0005-0000-0000-000021010000}"/>
    <cellStyle name="20% - Accent2 5 2 4" xfId="292" xr:uid="{00000000-0005-0000-0000-000022010000}"/>
    <cellStyle name="20% - Accent2 5 2 5" xfId="293" xr:uid="{00000000-0005-0000-0000-000023010000}"/>
    <cellStyle name="20% - Accent2 5 3" xfId="294" xr:uid="{00000000-0005-0000-0000-000024010000}"/>
    <cellStyle name="20% - Accent2 5 3 2" xfId="295" xr:uid="{00000000-0005-0000-0000-000025010000}"/>
    <cellStyle name="20% - Accent2 5 3 2 2" xfId="296" xr:uid="{00000000-0005-0000-0000-000026010000}"/>
    <cellStyle name="20% - Accent2 5 3 3" xfId="297" xr:uid="{00000000-0005-0000-0000-000027010000}"/>
    <cellStyle name="20% - Accent2 5 3 4" xfId="298" xr:uid="{00000000-0005-0000-0000-000028010000}"/>
    <cellStyle name="20% - Accent2 5 4" xfId="299" xr:uid="{00000000-0005-0000-0000-000029010000}"/>
    <cellStyle name="20% - Accent2 5 4 2" xfId="300" xr:uid="{00000000-0005-0000-0000-00002A010000}"/>
    <cellStyle name="20% - Accent2 5 5" xfId="301" xr:uid="{00000000-0005-0000-0000-00002B010000}"/>
    <cellStyle name="20% - Accent2 5 5 2" xfId="302" xr:uid="{00000000-0005-0000-0000-00002C010000}"/>
    <cellStyle name="20% - Accent2 5 6" xfId="303" xr:uid="{00000000-0005-0000-0000-00002D010000}"/>
    <cellStyle name="20% - Accent2 5 7" xfId="304" xr:uid="{00000000-0005-0000-0000-00002E010000}"/>
    <cellStyle name="20% - Accent2 6" xfId="305" xr:uid="{00000000-0005-0000-0000-00002F010000}"/>
    <cellStyle name="20% - Accent2 7" xfId="306" xr:uid="{00000000-0005-0000-0000-000030010000}"/>
    <cellStyle name="20% - Accent2 7 2" xfId="307" xr:uid="{00000000-0005-0000-0000-000031010000}"/>
    <cellStyle name="20% - Accent2 7 2 2" xfId="308" xr:uid="{00000000-0005-0000-0000-000032010000}"/>
    <cellStyle name="20% - Accent2 7 2 2 2" xfId="309" xr:uid="{00000000-0005-0000-0000-000033010000}"/>
    <cellStyle name="20% - Accent2 7 2 2 2 2" xfId="310" xr:uid="{00000000-0005-0000-0000-000034010000}"/>
    <cellStyle name="20% - Accent2 7 2 2 3" xfId="311" xr:uid="{00000000-0005-0000-0000-000035010000}"/>
    <cellStyle name="20% - Accent2 7 2 2 4" xfId="312" xr:uid="{00000000-0005-0000-0000-000036010000}"/>
    <cellStyle name="20% - Accent2 7 2 3" xfId="313" xr:uid="{00000000-0005-0000-0000-000037010000}"/>
    <cellStyle name="20% - Accent2 7 2 3 2" xfId="314" xr:uid="{00000000-0005-0000-0000-000038010000}"/>
    <cellStyle name="20% - Accent2 7 2 4" xfId="315" xr:uid="{00000000-0005-0000-0000-000039010000}"/>
    <cellStyle name="20% - Accent2 7 2 5" xfId="316" xr:uid="{00000000-0005-0000-0000-00003A010000}"/>
    <cellStyle name="20% - Accent2 7 3" xfId="317" xr:uid="{00000000-0005-0000-0000-00003B010000}"/>
    <cellStyle name="20% - Accent2 7 3 2" xfId="318" xr:uid="{00000000-0005-0000-0000-00003C010000}"/>
    <cellStyle name="20% - Accent2 7 3 2 2" xfId="319" xr:uid="{00000000-0005-0000-0000-00003D010000}"/>
    <cellStyle name="20% - Accent2 7 3 3" xfId="320" xr:uid="{00000000-0005-0000-0000-00003E010000}"/>
    <cellStyle name="20% - Accent2 7 3 4" xfId="321" xr:uid="{00000000-0005-0000-0000-00003F010000}"/>
    <cellStyle name="20% - Accent2 7 4" xfId="322" xr:uid="{00000000-0005-0000-0000-000040010000}"/>
    <cellStyle name="20% - Accent2 7 4 2" xfId="323" xr:uid="{00000000-0005-0000-0000-000041010000}"/>
    <cellStyle name="20% - Accent2 7 5" xfId="324" xr:uid="{00000000-0005-0000-0000-000042010000}"/>
    <cellStyle name="20% - Accent2 7 6" xfId="325" xr:uid="{00000000-0005-0000-0000-000043010000}"/>
    <cellStyle name="20% - Accent2 8" xfId="326" xr:uid="{00000000-0005-0000-0000-000044010000}"/>
    <cellStyle name="20% - Accent2 8 2" xfId="327" xr:uid="{00000000-0005-0000-0000-000045010000}"/>
    <cellStyle name="20% - Accent2 8 2 2" xfId="328" xr:uid="{00000000-0005-0000-0000-000046010000}"/>
    <cellStyle name="20% - Accent2 8 2 2 2" xfId="329" xr:uid="{00000000-0005-0000-0000-000047010000}"/>
    <cellStyle name="20% - Accent2 8 2 2 2 2" xfId="330" xr:uid="{00000000-0005-0000-0000-000048010000}"/>
    <cellStyle name="20% - Accent2 8 2 2 3" xfId="331" xr:uid="{00000000-0005-0000-0000-000049010000}"/>
    <cellStyle name="20% - Accent2 8 2 2 4" xfId="332" xr:uid="{00000000-0005-0000-0000-00004A010000}"/>
    <cellStyle name="20% - Accent2 8 2 3" xfId="333" xr:uid="{00000000-0005-0000-0000-00004B010000}"/>
    <cellStyle name="20% - Accent2 8 2 3 2" xfId="334" xr:uid="{00000000-0005-0000-0000-00004C010000}"/>
    <cellStyle name="20% - Accent2 8 2 4" xfId="335" xr:uid="{00000000-0005-0000-0000-00004D010000}"/>
    <cellStyle name="20% - Accent2 8 2 5" xfId="336" xr:uid="{00000000-0005-0000-0000-00004E010000}"/>
    <cellStyle name="20% - Accent2 8 3" xfId="337" xr:uid="{00000000-0005-0000-0000-00004F010000}"/>
    <cellStyle name="20% - Accent2 8 3 2" xfId="338" xr:uid="{00000000-0005-0000-0000-000050010000}"/>
    <cellStyle name="20% - Accent2 8 3 2 2" xfId="339" xr:uid="{00000000-0005-0000-0000-000051010000}"/>
    <cellStyle name="20% - Accent2 8 3 3" xfId="340" xr:uid="{00000000-0005-0000-0000-000052010000}"/>
    <cellStyle name="20% - Accent2 8 3 4" xfId="341" xr:uid="{00000000-0005-0000-0000-000053010000}"/>
    <cellStyle name="20% - Accent2 8 4" xfId="342" xr:uid="{00000000-0005-0000-0000-000054010000}"/>
    <cellStyle name="20% - Accent2 8 4 2" xfId="343" xr:uid="{00000000-0005-0000-0000-000055010000}"/>
    <cellStyle name="20% - Accent2 8 5" xfId="344" xr:uid="{00000000-0005-0000-0000-000056010000}"/>
    <cellStyle name="20% - Accent2 8 6" xfId="345" xr:uid="{00000000-0005-0000-0000-000057010000}"/>
    <cellStyle name="20% - Accent2 9" xfId="346" xr:uid="{00000000-0005-0000-0000-000058010000}"/>
    <cellStyle name="20% - Accent2 9 2" xfId="347" xr:uid="{00000000-0005-0000-0000-000059010000}"/>
    <cellStyle name="20% - Accent2 9 2 2" xfId="348" xr:uid="{00000000-0005-0000-0000-00005A010000}"/>
    <cellStyle name="20% - Accent2 9 2 2 2" xfId="349" xr:uid="{00000000-0005-0000-0000-00005B010000}"/>
    <cellStyle name="20% - Accent2 9 2 2 2 2" xfId="350" xr:uid="{00000000-0005-0000-0000-00005C010000}"/>
    <cellStyle name="20% - Accent2 9 2 2 3" xfId="351" xr:uid="{00000000-0005-0000-0000-00005D010000}"/>
    <cellStyle name="20% - Accent2 9 2 2 4" xfId="352" xr:uid="{00000000-0005-0000-0000-00005E010000}"/>
    <cellStyle name="20% - Accent2 9 2 3" xfId="353" xr:uid="{00000000-0005-0000-0000-00005F010000}"/>
    <cellStyle name="20% - Accent2 9 2 3 2" xfId="354" xr:uid="{00000000-0005-0000-0000-000060010000}"/>
    <cellStyle name="20% - Accent2 9 2 4" xfId="355" xr:uid="{00000000-0005-0000-0000-000061010000}"/>
    <cellStyle name="20% - Accent2 9 2 5" xfId="356" xr:uid="{00000000-0005-0000-0000-000062010000}"/>
    <cellStyle name="20% - Accent2 9 3" xfId="357" xr:uid="{00000000-0005-0000-0000-000063010000}"/>
    <cellStyle name="20% - Accent2 9 3 2" xfId="358" xr:uid="{00000000-0005-0000-0000-000064010000}"/>
    <cellStyle name="20% - Accent2 9 3 2 2" xfId="359" xr:uid="{00000000-0005-0000-0000-000065010000}"/>
    <cellStyle name="20% - Accent2 9 3 3" xfId="360" xr:uid="{00000000-0005-0000-0000-000066010000}"/>
    <cellStyle name="20% - Accent2 9 3 4" xfId="361" xr:uid="{00000000-0005-0000-0000-000067010000}"/>
    <cellStyle name="20% - Accent2 9 4" xfId="362" xr:uid="{00000000-0005-0000-0000-000068010000}"/>
    <cellStyle name="20% - Accent2 9 4 2" xfId="363" xr:uid="{00000000-0005-0000-0000-000069010000}"/>
    <cellStyle name="20% - Accent2 9 5" xfId="364" xr:uid="{00000000-0005-0000-0000-00006A010000}"/>
    <cellStyle name="20% - Accent2 9 6" xfId="365" xr:uid="{00000000-0005-0000-0000-00006B010000}"/>
    <cellStyle name="20% - Accent3 10" xfId="366" xr:uid="{00000000-0005-0000-0000-00006C010000}"/>
    <cellStyle name="20% - Accent3 10 2" xfId="367" xr:uid="{00000000-0005-0000-0000-00006D010000}"/>
    <cellStyle name="20% - Accent3 10 2 2" xfId="368" xr:uid="{00000000-0005-0000-0000-00006E010000}"/>
    <cellStyle name="20% - Accent3 10 2 2 2" xfId="369" xr:uid="{00000000-0005-0000-0000-00006F010000}"/>
    <cellStyle name="20% - Accent3 10 2 3" xfId="370" xr:uid="{00000000-0005-0000-0000-000070010000}"/>
    <cellStyle name="20% - Accent3 10 2 4" xfId="371" xr:uid="{00000000-0005-0000-0000-000071010000}"/>
    <cellStyle name="20% - Accent3 10 3" xfId="372" xr:uid="{00000000-0005-0000-0000-000072010000}"/>
    <cellStyle name="20% - Accent3 10 3 2" xfId="373" xr:uid="{00000000-0005-0000-0000-000073010000}"/>
    <cellStyle name="20% - Accent3 10 4" xfId="374" xr:uid="{00000000-0005-0000-0000-000074010000}"/>
    <cellStyle name="20% - Accent3 10 5" xfId="375" xr:uid="{00000000-0005-0000-0000-000075010000}"/>
    <cellStyle name="20% - Accent3 11" xfId="376" xr:uid="{00000000-0005-0000-0000-000076010000}"/>
    <cellStyle name="20% - Accent3 11 2" xfId="377" xr:uid="{00000000-0005-0000-0000-000077010000}"/>
    <cellStyle name="20% - Accent3 11 2 2" xfId="378" xr:uid="{00000000-0005-0000-0000-000078010000}"/>
    <cellStyle name="20% - Accent3 11 2 2 2" xfId="379" xr:uid="{00000000-0005-0000-0000-000079010000}"/>
    <cellStyle name="20% - Accent3 11 2 3" xfId="380" xr:uid="{00000000-0005-0000-0000-00007A010000}"/>
    <cellStyle name="20% - Accent3 11 2 4" xfId="381" xr:uid="{00000000-0005-0000-0000-00007B010000}"/>
    <cellStyle name="20% - Accent3 11 3" xfId="382" xr:uid="{00000000-0005-0000-0000-00007C010000}"/>
    <cellStyle name="20% - Accent3 11 3 2" xfId="383" xr:uid="{00000000-0005-0000-0000-00007D010000}"/>
    <cellStyle name="20% - Accent3 11 4" xfId="384" xr:uid="{00000000-0005-0000-0000-00007E010000}"/>
    <cellStyle name="20% - Accent3 11 5" xfId="385" xr:uid="{00000000-0005-0000-0000-00007F010000}"/>
    <cellStyle name="20% - Accent3 12" xfId="386" xr:uid="{00000000-0005-0000-0000-000080010000}"/>
    <cellStyle name="20% - Accent3 12 2" xfId="387" xr:uid="{00000000-0005-0000-0000-000081010000}"/>
    <cellStyle name="20% - Accent3 12 2 2" xfId="388" xr:uid="{00000000-0005-0000-0000-000082010000}"/>
    <cellStyle name="20% - Accent3 12 3" xfId="389" xr:uid="{00000000-0005-0000-0000-000083010000}"/>
    <cellStyle name="20% - Accent3 12 4" xfId="390" xr:uid="{00000000-0005-0000-0000-000084010000}"/>
    <cellStyle name="20% - Accent3 13" xfId="391" xr:uid="{00000000-0005-0000-0000-000085010000}"/>
    <cellStyle name="20% - Accent3 13 2" xfId="392" xr:uid="{00000000-0005-0000-0000-000086010000}"/>
    <cellStyle name="20% - Accent3 14" xfId="393" xr:uid="{00000000-0005-0000-0000-000087010000}"/>
    <cellStyle name="20% - Accent3 14 2" xfId="394" xr:uid="{00000000-0005-0000-0000-000088010000}"/>
    <cellStyle name="20% - Accent3 15" xfId="395" xr:uid="{00000000-0005-0000-0000-000089010000}"/>
    <cellStyle name="20% - Accent3 16" xfId="396" xr:uid="{00000000-0005-0000-0000-00008A010000}"/>
    <cellStyle name="20% - Accent3 2" xfId="397" xr:uid="{00000000-0005-0000-0000-00008B010000}"/>
    <cellStyle name="20% - Accent3 2 2" xfId="398" xr:uid="{00000000-0005-0000-0000-00008C010000}"/>
    <cellStyle name="20% - Accent3 2 2 2" xfId="399" xr:uid="{00000000-0005-0000-0000-00008D010000}"/>
    <cellStyle name="20% - Accent3 2 2 2 2" xfId="400" xr:uid="{00000000-0005-0000-0000-00008E010000}"/>
    <cellStyle name="20% - Accent3 2 2 2 2 2" xfId="401" xr:uid="{00000000-0005-0000-0000-00008F010000}"/>
    <cellStyle name="20% - Accent3 2 2 2 2 2 2" xfId="402" xr:uid="{00000000-0005-0000-0000-000090010000}"/>
    <cellStyle name="20% - Accent3 2 2 2 2 3" xfId="403" xr:uid="{00000000-0005-0000-0000-000091010000}"/>
    <cellStyle name="20% - Accent3 2 2 2 2 4" xfId="404" xr:uid="{00000000-0005-0000-0000-000092010000}"/>
    <cellStyle name="20% - Accent3 2 2 2 3" xfId="405" xr:uid="{00000000-0005-0000-0000-000093010000}"/>
    <cellStyle name="20% - Accent3 2 2 2 3 2" xfId="406" xr:uid="{00000000-0005-0000-0000-000094010000}"/>
    <cellStyle name="20% - Accent3 2 2 2 4" xfId="407" xr:uid="{00000000-0005-0000-0000-000095010000}"/>
    <cellStyle name="20% - Accent3 2 2 2 5" xfId="408" xr:uid="{00000000-0005-0000-0000-000096010000}"/>
    <cellStyle name="20% - Accent3 2 2 3" xfId="409" xr:uid="{00000000-0005-0000-0000-000097010000}"/>
    <cellStyle name="20% - Accent3 2 2 3 2" xfId="410" xr:uid="{00000000-0005-0000-0000-000098010000}"/>
    <cellStyle name="20% - Accent3 2 2 3 2 2" xfId="411" xr:uid="{00000000-0005-0000-0000-000099010000}"/>
    <cellStyle name="20% - Accent3 2 2 3 3" xfId="412" xr:uid="{00000000-0005-0000-0000-00009A010000}"/>
    <cellStyle name="20% - Accent3 2 2 3 4" xfId="413" xr:uid="{00000000-0005-0000-0000-00009B010000}"/>
    <cellStyle name="20% - Accent3 2 2 4" xfId="414" xr:uid="{00000000-0005-0000-0000-00009C010000}"/>
    <cellStyle name="20% - Accent3 2 2 4 2" xfId="415" xr:uid="{00000000-0005-0000-0000-00009D010000}"/>
    <cellStyle name="20% - Accent3 2 2 5" xfId="416" xr:uid="{00000000-0005-0000-0000-00009E010000}"/>
    <cellStyle name="20% - Accent3 2 2 5 2" xfId="417" xr:uid="{00000000-0005-0000-0000-00009F010000}"/>
    <cellStyle name="20% - Accent3 2 2 6" xfId="418" xr:uid="{00000000-0005-0000-0000-0000A0010000}"/>
    <cellStyle name="20% - Accent3 2 2 7" xfId="419" xr:uid="{00000000-0005-0000-0000-0000A1010000}"/>
    <cellStyle name="20% - Accent3 2 3" xfId="420" xr:uid="{00000000-0005-0000-0000-0000A2010000}"/>
    <cellStyle name="20% - Accent3 2 3 2" xfId="421" xr:uid="{00000000-0005-0000-0000-0000A3010000}"/>
    <cellStyle name="20% - Accent3 2 3 2 2" xfId="422" xr:uid="{00000000-0005-0000-0000-0000A4010000}"/>
    <cellStyle name="20% - Accent3 2 3 2 2 2" xfId="423" xr:uid="{00000000-0005-0000-0000-0000A5010000}"/>
    <cellStyle name="20% - Accent3 2 3 2 3" xfId="424" xr:uid="{00000000-0005-0000-0000-0000A6010000}"/>
    <cellStyle name="20% - Accent3 2 3 2 4" xfId="425" xr:uid="{00000000-0005-0000-0000-0000A7010000}"/>
    <cellStyle name="20% - Accent3 2 3 3" xfId="426" xr:uid="{00000000-0005-0000-0000-0000A8010000}"/>
    <cellStyle name="20% - Accent3 2 3 3 2" xfId="427" xr:uid="{00000000-0005-0000-0000-0000A9010000}"/>
    <cellStyle name="20% - Accent3 2 3 4" xfId="428" xr:uid="{00000000-0005-0000-0000-0000AA010000}"/>
    <cellStyle name="20% - Accent3 2 3 5" xfId="429" xr:uid="{00000000-0005-0000-0000-0000AB010000}"/>
    <cellStyle name="20% - Accent3 2 4" xfId="430" xr:uid="{00000000-0005-0000-0000-0000AC010000}"/>
    <cellStyle name="20% - Accent3 2 4 2" xfId="431" xr:uid="{00000000-0005-0000-0000-0000AD010000}"/>
    <cellStyle name="20% - Accent3 2 4 2 2" xfId="432" xr:uid="{00000000-0005-0000-0000-0000AE010000}"/>
    <cellStyle name="20% - Accent3 2 4 3" xfId="433" xr:uid="{00000000-0005-0000-0000-0000AF010000}"/>
    <cellStyle name="20% - Accent3 2 4 4" xfId="434" xr:uid="{00000000-0005-0000-0000-0000B0010000}"/>
    <cellStyle name="20% - Accent3 2 5" xfId="435" xr:uid="{00000000-0005-0000-0000-0000B1010000}"/>
    <cellStyle name="20% - Accent3 2 5 2" xfId="436" xr:uid="{00000000-0005-0000-0000-0000B2010000}"/>
    <cellStyle name="20% - Accent3 2 6" xfId="437" xr:uid="{00000000-0005-0000-0000-0000B3010000}"/>
    <cellStyle name="20% - Accent3 2 6 2" xfId="438" xr:uid="{00000000-0005-0000-0000-0000B4010000}"/>
    <cellStyle name="20% - Accent3 2 7" xfId="439" xr:uid="{00000000-0005-0000-0000-0000B5010000}"/>
    <cellStyle name="20% - Accent3 2 8" xfId="440" xr:uid="{00000000-0005-0000-0000-0000B6010000}"/>
    <cellStyle name="20% - Accent3 3" xfId="441" xr:uid="{00000000-0005-0000-0000-0000B7010000}"/>
    <cellStyle name="20% - Accent3 3 2" xfId="442" xr:uid="{00000000-0005-0000-0000-0000B8010000}"/>
    <cellStyle name="20% - Accent3 4" xfId="443" xr:uid="{00000000-0005-0000-0000-0000B9010000}"/>
    <cellStyle name="20% - Accent3 4 2" xfId="444" xr:uid="{00000000-0005-0000-0000-0000BA010000}"/>
    <cellStyle name="20% - Accent3 4 2 2" xfId="445" xr:uid="{00000000-0005-0000-0000-0000BB010000}"/>
    <cellStyle name="20% - Accent3 4 2 2 2" xfId="446" xr:uid="{00000000-0005-0000-0000-0000BC010000}"/>
    <cellStyle name="20% - Accent3 4 2 2 2 2" xfId="447" xr:uid="{00000000-0005-0000-0000-0000BD010000}"/>
    <cellStyle name="20% - Accent3 4 2 2 3" xfId="448" xr:uid="{00000000-0005-0000-0000-0000BE010000}"/>
    <cellStyle name="20% - Accent3 4 2 2 4" xfId="449" xr:uid="{00000000-0005-0000-0000-0000BF010000}"/>
    <cellStyle name="20% - Accent3 4 2 3" xfId="450" xr:uid="{00000000-0005-0000-0000-0000C0010000}"/>
    <cellStyle name="20% - Accent3 4 2 3 2" xfId="451" xr:uid="{00000000-0005-0000-0000-0000C1010000}"/>
    <cellStyle name="20% - Accent3 4 2 4" xfId="452" xr:uid="{00000000-0005-0000-0000-0000C2010000}"/>
    <cellStyle name="20% - Accent3 4 2 5" xfId="453" xr:uid="{00000000-0005-0000-0000-0000C3010000}"/>
    <cellStyle name="20% - Accent3 4 3" xfId="454" xr:uid="{00000000-0005-0000-0000-0000C4010000}"/>
    <cellStyle name="20% - Accent3 4 3 2" xfId="455" xr:uid="{00000000-0005-0000-0000-0000C5010000}"/>
    <cellStyle name="20% - Accent3 4 3 2 2" xfId="456" xr:uid="{00000000-0005-0000-0000-0000C6010000}"/>
    <cellStyle name="20% - Accent3 4 3 3" xfId="457" xr:uid="{00000000-0005-0000-0000-0000C7010000}"/>
    <cellStyle name="20% - Accent3 4 3 4" xfId="458" xr:uid="{00000000-0005-0000-0000-0000C8010000}"/>
    <cellStyle name="20% - Accent3 4 4" xfId="459" xr:uid="{00000000-0005-0000-0000-0000C9010000}"/>
    <cellStyle name="20% - Accent3 4 4 2" xfId="460" xr:uid="{00000000-0005-0000-0000-0000CA010000}"/>
    <cellStyle name="20% - Accent3 4 5" xfId="461" xr:uid="{00000000-0005-0000-0000-0000CB010000}"/>
    <cellStyle name="20% - Accent3 4 5 2" xfId="462" xr:uid="{00000000-0005-0000-0000-0000CC010000}"/>
    <cellStyle name="20% - Accent3 4 6" xfId="463" xr:uid="{00000000-0005-0000-0000-0000CD010000}"/>
    <cellStyle name="20% - Accent3 4 7" xfId="464" xr:uid="{00000000-0005-0000-0000-0000CE010000}"/>
    <cellStyle name="20% - Accent3 5" xfId="465" xr:uid="{00000000-0005-0000-0000-0000CF010000}"/>
    <cellStyle name="20% - Accent3 5 2" xfId="466" xr:uid="{00000000-0005-0000-0000-0000D0010000}"/>
    <cellStyle name="20% - Accent3 5 2 2" xfId="467" xr:uid="{00000000-0005-0000-0000-0000D1010000}"/>
    <cellStyle name="20% - Accent3 5 2 2 2" xfId="468" xr:uid="{00000000-0005-0000-0000-0000D2010000}"/>
    <cellStyle name="20% - Accent3 5 2 2 2 2" xfId="469" xr:uid="{00000000-0005-0000-0000-0000D3010000}"/>
    <cellStyle name="20% - Accent3 5 2 2 3" xfId="470" xr:uid="{00000000-0005-0000-0000-0000D4010000}"/>
    <cellStyle name="20% - Accent3 5 2 2 4" xfId="471" xr:uid="{00000000-0005-0000-0000-0000D5010000}"/>
    <cellStyle name="20% - Accent3 5 2 3" xfId="472" xr:uid="{00000000-0005-0000-0000-0000D6010000}"/>
    <cellStyle name="20% - Accent3 5 2 3 2" xfId="473" xr:uid="{00000000-0005-0000-0000-0000D7010000}"/>
    <cellStyle name="20% - Accent3 5 2 4" xfId="474" xr:uid="{00000000-0005-0000-0000-0000D8010000}"/>
    <cellStyle name="20% - Accent3 5 2 5" xfId="475" xr:uid="{00000000-0005-0000-0000-0000D9010000}"/>
    <cellStyle name="20% - Accent3 5 3" xfId="476" xr:uid="{00000000-0005-0000-0000-0000DA010000}"/>
    <cellStyle name="20% - Accent3 5 3 2" xfId="477" xr:uid="{00000000-0005-0000-0000-0000DB010000}"/>
    <cellStyle name="20% - Accent3 5 3 2 2" xfId="478" xr:uid="{00000000-0005-0000-0000-0000DC010000}"/>
    <cellStyle name="20% - Accent3 5 3 3" xfId="479" xr:uid="{00000000-0005-0000-0000-0000DD010000}"/>
    <cellStyle name="20% - Accent3 5 3 4" xfId="480" xr:uid="{00000000-0005-0000-0000-0000DE010000}"/>
    <cellStyle name="20% - Accent3 5 4" xfId="481" xr:uid="{00000000-0005-0000-0000-0000DF010000}"/>
    <cellStyle name="20% - Accent3 5 4 2" xfId="482" xr:uid="{00000000-0005-0000-0000-0000E0010000}"/>
    <cellStyle name="20% - Accent3 5 5" xfId="483" xr:uid="{00000000-0005-0000-0000-0000E1010000}"/>
    <cellStyle name="20% - Accent3 5 5 2" xfId="484" xr:uid="{00000000-0005-0000-0000-0000E2010000}"/>
    <cellStyle name="20% - Accent3 5 6" xfId="485" xr:uid="{00000000-0005-0000-0000-0000E3010000}"/>
    <cellStyle name="20% - Accent3 5 7" xfId="486" xr:uid="{00000000-0005-0000-0000-0000E4010000}"/>
    <cellStyle name="20% - Accent3 6" xfId="487" xr:uid="{00000000-0005-0000-0000-0000E5010000}"/>
    <cellStyle name="20% - Accent3 7" xfId="488" xr:uid="{00000000-0005-0000-0000-0000E6010000}"/>
    <cellStyle name="20% - Accent3 7 2" xfId="489" xr:uid="{00000000-0005-0000-0000-0000E7010000}"/>
    <cellStyle name="20% - Accent3 7 2 2" xfId="490" xr:uid="{00000000-0005-0000-0000-0000E8010000}"/>
    <cellStyle name="20% - Accent3 7 2 2 2" xfId="491" xr:uid="{00000000-0005-0000-0000-0000E9010000}"/>
    <cellStyle name="20% - Accent3 7 2 2 2 2" xfId="492" xr:uid="{00000000-0005-0000-0000-0000EA010000}"/>
    <cellStyle name="20% - Accent3 7 2 2 3" xfId="493" xr:uid="{00000000-0005-0000-0000-0000EB010000}"/>
    <cellStyle name="20% - Accent3 7 2 2 4" xfId="494" xr:uid="{00000000-0005-0000-0000-0000EC010000}"/>
    <cellStyle name="20% - Accent3 7 2 3" xfId="495" xr:uid="{00000000-0005-0000-0000-0000ED010000}"/>
    <cellStyle name="20% - Accent3 7 2 3 2" xfId="496" xr:uid="{00000000-0005-0000-0000-0000EE010000}"/>
    <cellStyle name="20% - Accent3 7 2 4" xfId="497" xr:uid="{00000000-0005-0000-0000-0000EF010000}"/>
    <cellStyle name="20% - Accent3 7 2 5" xfId="498" xr:uid="{00000000-0005-0000-0000-0000F0010000}"/>
    <cellStyle name="20% - Accent3 7 3" xfId="499" xr:uid="{00000000-0005-0000-0000-0000F1010000}"/>
    <cellStyle name="20% - Accent3 7 3 2" xfId="500" xr:uid="{00000000-0005-0000-0000-0000F2010000}"/>
    <cellStyle name="20% - Accent3 7 3 2 2" xfId="501" xr:uid="{00000000-0005-0000-0000-0000F3010000}"/>
    <cellStyle name="20% - Accent3 7 3 3" xfId="502" xr:uid="{00000000-0005-0000-0000-0000F4010000}"/>
    <cellStyle name="20% - Accent3 7 3 4" xfId="503" xr:uid="{00000000-0005-0000-0000-0000F5010000}"/>
    <cellStyle name="20% - Accent3 7 4" xfId="504" xr:uid="{00000000-0005-0000-0000-0000F6010000}"/>
    <cellStyle name="20% - Accent3 7 4 2" xfId="505" xr:uid="{00000000-0005-0000-0000-0000F7010000}"/>
    <cellStyle name="20% - Accent3 7 5" xfId="506" xr:uid="{00000000-0005-0000-0000-0000F8010000}"/>
    <cellStyle name="20% - Accent3 7 6" xfId="507" xr:uid="{00000000-0005-0000-0000-0000F9010000}"/>
    <cellStyle name="20% - Accent3 8" xfId="508" xr:uid="{00000000-0005-0000-0000-0000FA010000}"/>
    <cellStyle name="20% - Accent3 8 2" xfId="509" xr:uid="{00000000-0005-0000-0000-0000FB010000}"/>
    <cellStyle name="20% - Accent3 8 2 2" xfId="510" xr:uid="{00000000-0005-0000-0000-0000FC010000}"/>
    <cellStyle name="20% - Accent3 8 2 2 2" xfId="511" xr:uid="{00000000-0005-0000-0000-0000FD010000}"/>
    <cellStyle name="20% - Accent3 8 2 2 2 2" xfId="512" xr:uid="{00000000-0005-0000-0000-0000FE010000}"/>
    <cellStyle name="20% - Accent3 8 2 2 3" xfId="513" xr:uid="{00000000-0005-0000-0000-0000FF010000}"/>
    <cellStyle name="20% - Accent3 8 2 2 4" xfId="514" xr:uid="{00000000-0005-0000-0000-000000020000}"/>
    <cellStyle name="20% - Accent3 8 2 3" xfId="515" xr:uid="{00000000-0005-0000-0000-000001020000}"/>
    <cellStyle name="20% - Accent3 8 2 3 2" xfId="516" xr:uid="{00000000-0005-0000-0000-000002020000}"/>
    <cellStyle name="20% - Accent3 8 2 4" xfId="517" xr:uid="{00000000-0005-0000-0000-000003020000}"/>
    <cellStyle name="20% - Accent3 8 2 5" xfId="518" xr:uid="{00000000-0005-0000-0000-000004020000}"/>
    <cellStyle name="20% - Accent3 8 3" xfId="519" xr:uid="{00000000-0005-0000-0000-000005020000}"/>
    <cellStyle name="20% - Accent3 8 3 2" xfId="520" xr:uid="{00000000-0005-0000-0000-000006020000}"/>
    <cellStyle name="20% - Accent3 8 3 2 2" xfId="521" xr:uid="{00000000-0005-0000-0000-000007020000}"/>
    <cellStyle name="20% - Accent3 8 3 3" xfId="522" xr:uid="{00000000-0005-0000-0000-000008020000}"/>
    <cellStyle name="20% - Accent3 8 3 4" xfId="523" xr:uid="{00000000-0005-0000-0000-000009020000}"/>
    <cellStyle name="20% - Accent3 8 4" xfId="524" xr:uid="{00000000-0005-0000-0000-00000A020000}"/>
    <cellStyle name="20% - Accent3 8 4 2" xfId="525" xr:uid="{00000000-0005-0000-0000-00000B020000}"/>
    <cellStyle name="20% - Accent3 8 5" xfId="526" xr:uid="{00000000-0005-0000-0000-00000C020000}"/>
    <cellStyle name="20% - Accent3 8 6" xfId="527" xr:uid="{00000000-0005-0000-0000-00000D020000}"/>
    <cellStyle name="20% - Accent3 9" xfId="528" xr:uid="{00000000-0005-0000-0000-00000E020000}"/>
    <cellStyle name="20% - Accent3 9 2" xfId="529" xr:uid="{00000000-0005-0000-0000-00000F020000}"/>
    <cellStyle name="20% - Accent3 9 2 2" xfId="530" xr:uid="{00000000-0005-0000-0000-000010020000}"/>
    <cellStyle name="20% - Accent3 9 2 2 2" xfId="531" xr:uid="{00000000-0005-0000-0000-000011020000}"/>
    <cellStyle name="20% - Accent3 9 2 2 2 2" xfId="532" xr:uid="{00000000-0005-0000-0000-000012020000}"/>
    <cellStyle name="20% - Accent3 9 2 2 3" xfId="533" xr:uid="{00000000-0005-0000-0000-000013020000}"/>
    <cellStyle name="20% - Accent3 9 2 2 4" xfId="534" xr:uid="{00000000-0005-0000-0000-000014020000}"/>
    <cellStyle name="20% - Accent3 9 2 3" xfId="535" xr:uid="{00000000-0005-0000-0000-000015020000}"/>
    <cellStyle name="20% - Accent3 9 2 3 2" xfId="536" xr:uid="{00000000-0005-0000-0000-000016020000}"/>
    <cellStyle name="20% - Accent3 9 2 4" xfId="537" xr:uid="{00000000-0005-0000-0000-000017020000}"/>
    <cellStyle name="20% - Accent3 9 2 5" xfId="538" xr:uid="{00000000-0005-0000-0000-000018020000}"/>
    <cellStyle name="20% - Accent3 9 3" xfId="539" xr:uid="{00000000-0005-0000-0000-000019020000}"/>
    <cellStyle name="20% - Accent3 9 3 2" xfId="540" xr:uid="{00000000-0005-0000-0000-00001A020000}"/>
    <cellStyle name="20% - Accent3 9 3 2 2" xfId="541" xr:uid="{00000000-0005-0000-0000-00001B020000}"/>
    <cellStyle name="20% - Accent3 9 3 3" xfId="542" xr:uid="{00000000-0005-0000-0000-00001C020000}"/>
    <cellStyle name="20% - Accent3 9 3 4" xfId="543" xr:uid="{00000000-0005-0000-0000-00001D020000}"/>
    <cellStyle name="20% - Accent3 9 4" xfId="544" xr:uid="{00000000-0005-0000-0000-00001E020000}"/>
    <cellStyle name="20% - Accent3 9 4 2" xfId="545" xr:uid="{00000000-0005-0000-0000-00001F020000}"/>
    <cellStyle name="20% - Accent3 9 5" xfId="546" xr:uid="{00000000-0005-0000-0000-000020020000}"/>
    <cellStyle name="20% - Accent3 9 6" xfId="547" xr:uid="{00000000-0005-0000-0000-000021020000}"/>
    <cellStyle name="20% - Accent4 10" xfId="548" xr:uid="{00000000-0005-0000-0000-000022020000}"/>
    <cellStyle name="20% - Accent4 10 2" xfId="549" xr:uid="{00000000-0005-0000-0000-000023020000}"/>
    <cellStyle name="20% - Accent4 10 2 2" xfId="550" xr:uid="{00000000-0005-0000-0000-000024020000}"/>
    <cellStyle name="20% - Accent4 10 2 2 2" xfId="551" xr:uid="{00000000-0005-0000-0000-000025020000}"/>
    <cellStyle name="20% - Accent4 10 2 3" xfId="552" xr:uid="{00000000-0005-0000-0000-000026020000}"/>
    <cellStyle name="20% - Accent4 10 2 4" xfId="553" xr:uid="{00000000-0005-0000-0000-000027020000}"/>
    <cellStyle name="20% - Accent4 10 3" xfId="554" xr:uid="{00000000-0005-0000-0000-000028020000}"/>
    <cellStyle name="20% - Accent4 10 3 2" xfId="555" xr:uid="{00000000-0005-0000-0000-000029020000}"/>
    <cellStyle name="20% - Accent4 10 4" xfId="556" xr:uid="{00000000-0005-0000-0000-00002A020000}"/>
    <cellStyle name="20% - Accent4 10 5" xfId="557" xr:uid="{00000000-0005-0000-0000-00002B020000}"/>
    <cellStyle name="20% - Accent4 11" xfId="558" xr:uid="{00000000-0005-0000-0000-00002C020000}"/>
    <cellStyle name="20% - Accent4 11 2" xfId="559" xr:uid="{00000000-0005-0000-0000-00002D020000}"/>
    <cellStyle name="20% - Accent4 11 2 2" xfId="560" xr:uid="{00000000-0005-0000-0000-00002E020000}"/>
    <cellStyle name="20% - Accent4 11 2 2 2" xfId="561" xr:uid="{00000000-0005-0000-0000-00002F020000}"/>
    <cellStyle name="20% - Accent4 11 2 3" xfId="562" xr:uid="{00000000-0005-0000-0000-000030020000}"/>
    <cellStyle name="20% - Accent4 11 2 4" xfId="563" xr:uid="{00000000-0005-0000-0000-000031020000}"/>
    <cellStyle name="20% - Accent4 11 3" xfId="564" xr:uid="{00000000-0005-0000-0000-000032020000}"/>
    <cellStyle name="20% - Accent4 11 3 2" xfId="565" xr:uid="{00000000-0005-0000-0000-000033020000}"/>
    <cellStyle name="20% - Accent4 11 4" xfId="566" xr:uid="{00000000-0005-0000-0000-000034020000}"/>
    <cellStyle name="20% - Accent4 11 5" xfId="567" xr:uid="{00000000-0005-0000-0000-000035020000}"/>
    <cellStyle name="20% - Accent4 12" xfId="568" xr:uid="{00000000-0005-0000-0000-000036020000}"/>
    <cellStyle name="20% - Accent4 12 2" xfId="569" xr:uid="{00000000-0005-0000-0000-000037020000}"/>
    <cellStyle name="20% - Accent4 12 2 2" xfId="570" xr:uid="{00000000-0005-0000-0000-000038020000}"/>
    <cellStyle name="20% - Accent4 12 3" xfId="571" xr:uid="{00000000-0005-0000-0000-000039020000}"/>
    <cellStyle name="20% - Accent4 12 4" xfId="572" xr:uid="{00000000-0005-0000-0000-00003A020000}"/>
    <cellStyle name="20% - Accent4 13" xfId="573" xr:uid="{00000000-0005-0000-0000-00003B020000}"/>
    <cellStyle name="20% - Accent4 13 2" xfId="574" xr:uid="{00000000-0005-0000-0000-00003C020000}"/>
    <cellStyle name="20% - Accent4 14" xfId="575" xr:uid="{00000000-0005-0000-0000-00003D020000}"/>
    <cellStyle name="20% - Accent4 14 2" xfId="576" xr:uid="{00000000-0005-0000-0000-00003E020000}"/>
    <cellStyle name="20% - Accent4 15" xfId="577" xr:uid="{00000000-0005-0000-0000-00003F020000}"/>
    <cellStyle name="20% - Accent4 16" xfId="578" xr:uid="{00000000-0005-0000-0000-000040020000}"/>
    <cellStyle name="20% - Accent4 2" xfId="579" xr:uid="{00000000-0005-0000-0000-000041020000}"/>
    <cellStyle name="20% - Accent4 2 2" xfId="580" xr:uid="{00000000-0005-0000-0000-000042020000}"/>
    <cellStyle name="20% - Accent4 2 2 2" xfId="581" xr:uid="{00000000-0005-0000-0000-000043020000}"/>
    <cellStyle name="20% - Accent4 2 2 2 2" xfId="582" xr:uid="{00000000-0005-0000-0000-000044020000}"/>
    <cellStyle name="20% - Accent4 2 2 2 2 2" xfId="583" xr:uid="{00000000-0005-0000-0000-000045020000}"/>
    <cellStyle name="20% - Accent4 2 2 2 2 2 2" xfId="584" xr:uid="{00000000-0005-0000-0000-000046020000}"/>
    <cellStyle name="20% - Accent4 2 2 2 2 3" xfId="585" xr:uid="{00000000-0005-0000-0000-000047020000}"/>
    <cellStyle name="20% - Accent4 2 2 2 2 4" xfId="586" xr:uid="{00000000-0005-0000-0000-000048020000}"/>
    <cellStyle name="20% - Accent4 2 2 2 3" xfId="587" xr:uid="{00000000-0005-0000-0000-000049020000}"/>
    <cellStyle name="20% - Accent4 2 2 2 3 2" xfId="588" xr:uid="{00000000-0005-0000-0000-00004A020000}"/>
    <cellStyle name="20% - Accent4 2 2 2 4" xfId="589" xr:uid="{00000000-0005-0000-0000-00004B020000}"/>
    <cellStyle name="20% - Accent4 2 2 2 5" xfId="590" xr:uid="{00000000-0005-0000-0000-00004C020000}"/>
    <cellStyle name="20% - Accent4 2 2 3" xfId="591" xr:uid="{00000000-0005-0000-0000-00004D020000}"/>
    <cellStyle name="20% - Accent4 2 2 3 2" xfId="592" xr:uid="{00000000-0005-0000-0000-00004E020000}"/>
    <cellStyle name="20% - Accent4 2 2 3 2 2" xfId="593" xr:uid="{00000000-0005-0000-0000-00004F020000}"/>
    <cellStyle name="20% - Accent4 2 2 3 3" xfId="594" xr:uid="{00000000-0005-0000-0000-000050020000}"/>
    <cellStyle name="20% - Accent4 2 2 3 4" xfId="595" xr:uid="{00000000-0005-0000-0000-000051020000}"/>
    <cellStyle name="20% - Accent4 2 2 4" xfId="596" xr:uid="{00000000-0005-0000-0000-000052020000}"/>
    <cellStyle name="20% - Accent4 2 2 4 2" xfId="597" xr:uid="{00000000-0005-0000-0000-000053020000}"/>
    <cellStyle name="20% - Accent4 2 2 5" xfId="598" xr:uid="{00000000-0005-0000-0000-000054020000}"/>
    <cellStyle name="20% - Accent4 2 2 5 2" xfId="599" xr:uid="{00000000-0005-0000-0000-000055020000}"/>
    <cellStyle name="20% - Accent4 2 2 6" xfId="600" xr:uid="{00000000-0005-0000-0000-000056020000}"/>
    <cellStyle name="20% - Accent4 2 2 7" xfId="601" xr:uid="{00000000-0005-0000-0000-000057020000}"/>
    <cellStyle name="20% - Accent4 2 3" xfId="602" xr:uid="{00000000-0005-0000-0000-000058020000}"/>
    <cellStyle name="20% - Accent4 2 3 2" xfId="603" xr:uid="{00000000-0005-0000-0000-000059020000}"/>
    <cellStyle name="20% - Accent4 2 3 2 2" xfId="604" xr:uid="{00000000-0005-0000-0000-00005A020000}"/>
    <cellStyle name="20% - Accent4 2 3 2 2 2" xfId="605" xr:uid="{00000000-0005-0000-0000-00005B020000}"/>
    <cellStyle name="20% - Accent4 2 3 2 3" xfId="606" xr:uid="{00000000-0005-0000-0000-00005C020000}"/>
    <cellStyle name="20% - Accent4 2 3 2 4" xfId="607" xr:uid="{00000000-0005-0000-0000-00005D020000}"/>
    <cellStyle name="20% - Accent4 2 3 3" xfId="608" xr:uid="{00000000-0005-0000-0000-00005E020000}"/>
    <cellStyle name="20% - Accent4 2 3 3 2" xfId="609" xr:uid="{00000000-0005-0000-0000-00005F020000}"/>
    <cellStyle name="20% - Accent4 2 3 4" xfId="610" xr:uid="{00000000-0005-0000-0000-000060020000}"/>
    <cellStyle name="20% - Accent4 2 3 5" xfId="611" xr:uid="{00000000-0005-0000-0000-000061020000}"/>
    <cellStyle name="20% - Accent4 2 4" xfId="612" xr:uid="{00000000-0005-0000-0000-000062020000}"/>
    <cellStyle name="20% - Accent4 2 4 2" xfId="613" xr:uid="{00000000-0005-0000-0000-000063020000}"/>
    <cellStyle name="20% - Accent4 2 4 2 2" xfId="614" xr:uid="{00000000-0005-0000-0000-000064020000}"/>
    <cellStyle name="20% - Accent4 2 4 3" xfId="615" xr:uid="{00000000-0005-0000-0000-000065020000}"/>
    <cellStyle name="20% - Accent4 2 4 4" xfId="616" xr:uid="{00000000-0005-0000-0000-000066020000}"/>
    <cellStyle name="20% - Accent4 2 5" xfId="617" xr:uid="{00000000-0005-0000-0000-000067020000}"/>
    <cellStyle name="20% - Accent4 2 5 2" xfId="618" xr:uid="{00000000-0005-0000-0000-000068020000}"/>
    <cellStyle name="20% - Accent4 2 6" xfId="619" xr:uid="{00000000-0005-0000-0000-000069020000}"/>
    <cellStyle name="20% - Accent4 2 6 2" xfId="620" xr:uid="{00000000-0005-0000-0000-00006A020000}"/>
    <cellStyle name="20% - Accent4 2 7" xfId="621" xr:uid="{00000000-0005-0000-0000-00006B020000}"/>
    <cellStyle name="20% - Accent4 2 8" xfId="622" xr:uid="{00000000-0005-0000-0000-00006C020000}"/>
    <cellStyle name="20% - Accent4 3" xfId="623" xr:uid="{00000000-0005-0000-0000-00006D020000}"/>
    <cellStyle name="20% - Accent4 3 2" xfId="624" xr:uid="{00000000-0005-0000-0000-00006E020000}"/>
    <cellStyle name="20% - Accent4 4" xfId="625" xr:uid="{00000000-0005-0000-0000-00006F020000}"/>
    <cellStyle name="20% - Accent4 4 2" xfId="626" xr:uid="{00000000-0005-0000-0000-000070020000}"/>
    <cellStyle name="20% - Accent4 4 2 2" xfId="627" xr:uid="{00000000-0005-0000-0000-000071020000}"/>
    <cellStyle name="20% - Accent4 4 2 2 2" xfId="628" xr:uid="{00000000-0005-0000-0000-000072020000}"/>
    <cellStyle name="20% - Accent4 4 2 2 2 2" xfId="629" xr:uid="{00000000-0005-0000-0000-000073020000}"/>
    <cellStyle name="20% - Accent4 4 2 2 3" xfId="630" xr:uid="{00000000-0005-0000-0000-000074020000}"/>
    <cellStyle name="20% - Accent4 4 2 2 4" xfId="631" xr:uid="{00000000-0005-0000-0000-000075020000}"/>
    <cellStyle name="20% - Accent4 4 2 3" xfId="632" xr:uid="{00000000-0005-0000-0000-000076020000}"/>
    <cellStyle name="20% - Accent4 4 2 3 2" xfId="633" xr:uid="{00000000-0005-0000-0000-000077020000}"/>
    <cellStyle name="20% - Accent4 4 2 4" xfId="634" xr:uid="{00000000-0005-0000-0000-000078020000}"/>
    <cellStyle name="20% - Accent4 4 2 5" xfId="635" xr:uid="{00000000-0005-0000-0000-000079020000}"/>
    <cellStyle name="20% - Accent4 4 3" xfId="636" xr:uid="{00000000-0005-0000-0000-00007A020000}"/>
    <cellStyle name="20% - Accent4 4 3 2" xfId="637" xr:uid="{00000000-0005-0000-0000-00007B020000}"/>
    <cellStyle name="20% - Accent4 4 3 2 2" xfId="638" xr:uid="{00000000-0005-0000-0000-00007C020000}"/>
    <cellStyle name="20% - Accent4 4 3 3" xfId="639" xr:uid="{00000000-0005-0000-0000-00007D020000}"/>
    <cellStyle name="20% - Accent4 4 3 4" xfId="640" xr:uid="{00000000-0005-0000-0000-00007E020000}"/>
    <cellStyle name="20% - Accent4 4 4" xfId="641" xr:uid="{00000000-0005-0000-0000-00007F020000}"/>
    <cellStyle name="20% - Accent4 4 4 2" xfId="642" xr:uid="{00000000-0005-0000-0000-000080020000}"/>
    <cellStyle name="20% - Accent4 4 5" xfId="643" xr:uid="{00000000-0005-0000-0000-000081020000}"/>
    <cellStyle name="20% - Accent4 4 5 2" xfId="644" xr:uid="{00000000-0005-0000-0000-000082020000}"/>
    <cellStyle name="20% - Accent4 4 6" xfId="645" xr:uid="{00000000-0005-0000-0000-000083020000}"/>
    <cellStyle name="20% - Accent4 4 7" xfId="646" xr:uid="{00000000-0005-0000-0000-000084020000}"/>
    <cellStyle name="20% - Accent4 5" xfId="647" xr:uid="{00000000-0005-0000-0000-000085020000}"/>
    <cellStyle name="20% - Accent4 5 2" xfId="648" xr:uid="{00000000-0005-0000-0000-000086020000}"/>
    <cellStyle name="20% - Accent4 5 2 2" xfId="649" xr:uid="{00000000-0005-0000-0000-000087020000}"/>
    <cellStyle name="20% - Accent4 5 2 2 2" xfId="650" xr:uid="{00000000-0005-0000-0000-000088020000}"/>
    <cellStyle name="20% - Accent4 5 2 2 2 2" xfId="651" xr:uid="{00000000-0005-0000-0000-000089020000}"/>
    <cellStyle name="20% - Accent4 5 2 2 3" xfId="652" xr:uid="{00000000-0005-0000-0000-00008A020000}"/>
    <cellStyle name="20% - Accent4 5 2 2 4" xfId="653" xr:uid="{00000000-0005-0000-0000-00008B020000}"/>
    <cellStyle name="20% - Accent4 5 2 3" xfId="654" xr:uid="{00000000-0005-0000-0000-00008C020000}"/>
    <cellStyle name="20% - Accent4 5 2 3 2" xfId="655" xr:uid="{00000000-0005-0000-0000-00008D020000}"/>
    <cellStyle name="20% - Accent4 5 2 4" xfId="656" xr:uid="{00000000-0005-0000-0000-00008E020000}"/>
    <cellStyle name="20% - Accent4 5 2 5" xfId="657" xr:uid="{00000000-0005-0000-0000-00008F020000}"/>
    <cellStyle name="20% - Accent4 5 3" xfId="658" xr:uid="{00000000-0005-0000-0000-000090020000}"/>
    <cellStyle name="20% - Accent4 5 3 2" xfId="659" xr:uid="{00000000-0005-0000-0000-000091020000}"/>
    <cellStyle name="20% - Accent4 5 3 2 2" xfId="660" xr:uid="{00000000-0005-0000-0000-000092020000}"/>
    <cellStyle name="20% - Accent4 5 3 3" xfId="661" xr:uid="{00000000-0005-0000-0000-000093020000}"/>
    <cellStyle name="20% - Accent4 5 3 4" xfId="662" xr:uid="{00000000-0005-0000-0000-000094020000}"/>
    <cellStyle name="20% - Accent4 5 4" xfId="663" xr:uid="{00000000-0005-0000-0000-000095020000}"/>
    <cellStyle name="20% - Accent4 5 4 2" xfId="664" xr:uid="{00000000-0005-0000-0000-000096020000}"/>
    <cellStyle name="20% - Accent4 5 5" xfId="665" xr:uid="{00000000-0005-0000-0000-000097020000}"/>
    <cellStyle name="20% - Accent4 5 5 2" xfId="666" xr:uid="{00000000-0005-0000-0000-000098020000}"/>
    <cellStyle name="20% - Accent4 5 6" xfId="667" xr:uid="{00000000-0005-0000-0000-000099020000}"/>
    <cellStyle name="20% - Accent4 5 7" xfId="668" xr:uid="{00000000-0005-0000-0000-00009A020000}"/>
    <cellStyle name="20% - Accent4 6" xfId="669" xr:uid="{00000000-0005-0000-0000-00009B020000}"/>
    <cellStyle name="20% - Accent4 7" xfId="670" xr:uid="{00000000-0005-0000-0000-00009C020000}"/>
    <cellStyle name="20% - Accent4 7 2" xfId="671" xr:uid="{00000000-0005-0000-0000-00009D020000}"/>
    <cellStyle name="20% - Accent4 7 2 2" xfId="672" xr:uid="{00000000-0005-0000-0000-00009E020000}"/>
    <cellStyle name="20% - Accent4 7 2 2 2" xfId="673" xr:uid="{00000000-0005-0000-0000-00009F020000}"/>
    <cellStyle name="20% - Accent4 7 2 2 2 2" xfId="674" xr:uid="{00000000-0005-0000-0000-0000A0020000}"/>
    <cellStyle name="20% - Accent4 7 2 2 3" xfId="675" xr:uid="{00000000-0005-0000-0000-0000A1020000}"/>
    <cellStyle name="20% - Accent4 7 2 2 4" xfId="676" xr:uid="{00000000-0005-0000-0000-0000A2020000}"/>
    <cellStyle name="20% - Accent4 7 2 3" xfId="677" xr:uid="{00000000-0005-0000-0000-0000A3020000}"/>
    <cellStyle name="20% - Accent4 7 2 3 2" xfId="678" xr:uid="{00000000-0005-0000-0000-0000A4020000}"/>
    <cellStyle name="20% - Accent4 7 2 4" xfId="679" xr:uid="{00000000-0005-0000-0000-0000A5020000}"/>
    <cellStyle name="20% - Accent4 7 2 5" xfId="680" xr:uid="{00000000-0005-0000-0000-0000A6020000}"/>
    <cellStyle name="20% - Accent4 7 3" xfId="681" xr:uid="{00000000-0005-0000-0000-0000A7020000}"/>
    <cellStyle name="20% - Accent4 7 3 2" xfId="682" xr:uid="{00000000-0005-0000-0000-0000A8020000}"/>
    <cellStyle name="20% - Accent4 7 3 2 2" xfId="683" xr:uid="{00000000-0005-0000-0000-0000A9020000}"/>
    <cellStyle name="20% - Accent4 7 3 3" xfId="684" xr:uid="{00000000-0005-0000-0000-0000AA020000}"/>
    <cellStyle name="20% - Accent4 7 3 4" xfId="685" xr:uid="{00000000-0005-0000-0000-0000AB020000}"/>
    <cellStyle name="20% - Accent4 7 4" xfId="686" xr:uid="{00000000-0005-0000-0000-0000AC020000}"/>
    <cellStyle name="20% - Accent4 7 4 2" xfId="687" xr:uid="{00000000-0005-0000-0000-0000AD020000}"/>
    <cellStyle name="20% - Accent4 7 5" xfId="688" xr:uid="{00000000-0005-0000-0000-0000AE020000}"/>
    <cellStyle name="20% - Accent4 7 6" xfId="689" xr:uid="{00000000-0005-0000-0000-0000AF020000}"/>
    <cellStyle name="20% - Accent4 8" xfId="690" xr:uid="{00000000-0005-0000-0000-0000B0020000}"/>
    <cellStyle name="20% - Accent4 8 2" xfId="691" xr:uid="{00000000-0005-0000-0000-0000B1020000}"/>
    <cellStyle name="20% - Accent4 8 2 2" xfId="692" xr:uid="{00000000-0005-0000-0000-0000B2020000}"/>
    <cellStyle name="20% - Accent4 8 2 2 2" xfId="693" xr:uid="{00000000-0005-0000-0000-0000B3020000}"/>
    <cellStyle name="20% - Accent4 8 2 2 2 2" xfId="694" xr:uid="{00000000-0005-0000-0000-0000B4020000}"/>
    <cellStyle name="20% - Accent4 8 2 2 3" xfId="695" xr:uid="{00000000-0005-0000-0000-0000B5020000}"/>
    <cellStyle name="20% - Accent4 8 2 2 4" xfId="696" xr:uid="{00000000-0005-0000-0000-0000B6020000}"/>
    <cellStyle name="20% - Accent4 8 2 3" xfId="697" xr:uid="{00000000-0005-0000-0000-0000B7020000}"/>
    <cellStyle name="20% - Accent4 8 2 3 2" xfId="698" xr:uid="{00000000-0005-0000-0000-0000B8020000}"/>
    <cellStyle name="20% - Accent4 8 2 4" xfId="699" xr:uid="{00000000-0005-0000-0000-0000B9020000}"/>
    <cellStyle name="20% - Accent4 8 2 5" xfId="700" xr:uid="{00000000-0005-0000-0000-0000BA020000}"/>
    <cellStyle name="20% - Accent4 8 3" xfId="701" xr:uid="{00000000-0005-0000-0000-0000BB020000}"/>
    <cellStyle name="20% - Accent4 8 3 2" xfId="702" xr:uid="{00000000-0005-0000-0000-0000BC020000}"/>
    <cellStyle name="20% - Accent4 8 3 2 2" xfId="703" xr:uid="{00000000-0005-0000-0000-0000BD020000}"/>
    <cellStyle name="20% - Accent4 8 3 3" xfId="704" xr:uid="{00000000-0005-0000-0000-0000BE020000}"/>
    <cellStyle name="20% - Accent4 8 3 4" xfId="705" xr:uid="{00000000-0005-0000-0000-0000BF020000}"/>
    <cellStyle name="20% - Accent4 8 4" xfId="706" xr:uid="{00000000-0005-0000-0000-0000C0020000}"/>
    <cellStyle name="20% - Accent4 8 4 2" xfId="707" xr:uid="{00000000-0005-0000-0000-0000C1020000}"/>
    <cellStyle name="20% - Accent4 8 5" xfId="708" xr:uid="{00000000-0005-0000-0000-0000C2020000}"/>
    <cellStyle name="20% - Accent4 8 6" xfId="709" xr:uid="{00000000-0005-0000-0000-0000C3020000}"/>
    <cellStyle name="20% - Accent4 9" xfId="710" xr:uid="{00000000-0005-0000-0000-0000C4020000}"/>
    <cellStyle name="20% - Accent4 9 2" xfId="711" xr:uid="{00000000-0005-0000-0000-0000C5020000}"/>
    <cellStyle name="20% - Accent4 9 2 2" xfId="712" xr:uid="{00000000-0005-0000-0000-0000C6020000}"/>
    <cellStyle name="20% - Accent4 9 2 2 2" xfId="713" xr:uid="{00000000-0005-0000-0000-0000C7020000}"/>
    <cellStyle name="20% - Accent4 9 2 2 2 2" xfId="714" xr:uid="{00000000-0005-0000-0000-0000C8020000}"/>
    <cellStyle name="20% - Accent4 9 2 2 3" xfId="715" xr:uid="{00000000-0005-0000-0000-0000C9020000}"/>
    <cellStyle name="20% - Accent4 9 2 2 4" xfId="716" xr:uid="{00000000-0005-0000-0000-0000CA020000}"/>
    <cellStyle name="20% - Accent4 9 2 3" xfId="717" xr:uid="{00000000-0005-0000-0000-0000CB020000}"/>
    <cellStyle name="20% - Accent4 9 2 3 2" xfId="718" xr:uid="{00000000-0005-0000-0000-0000CC020000}"/>
    <cellStyle name="20% - Accent4 9 2 4" xfId="719" xr:uid="{00000000-0005-0000-0000-0000CD020000}"/>
    <cellStyle name="20% - Accent4 9 2 5" xfId="720" xr:uid="{00000000-0005-0000-0000-0000CE020000}"/>
    <cellStyle name="20% - Accent4 9 3" xfId="721" xr:uid="{00000000-0005-0000-0000-0000CF020000}"/>
    <cellStyle name="20% - Accent4 9 3 2" xfId="722" xr:uid="{00000000-0005-0000-0000-0000D0020000}"/>
    <cellStyle name="20% - Accent4 9 3 2 2" xfId="723" xr:uid="{00000000-0005-0000-0000-0000D1020000}"/>
    <cellStyle name="20% - Accent4 9 3 3" xfId="724" xr:uid="{00000000-0005-0000-0000-0000D2020000}"/>
    <cellStyle name="20% - Accent4 9 3 4" xfId="725" xr:uid="{00000000-0005-0000-0000-0000D3020000}"/>
    <cellStyle name="20% - Accent4 9 4" xfId="726" xr:uid="{00000000-0005-0000-0000-0000D4020000}"/>
    <cellStyle name="20% - Accent4 9 4 2" xfId="727" xr:uid="{00000000-0005-0000-0000-0000D5020000}"/>
    <cellStyle name="20% - Accent4 9 5" xfId="728" xr:uid="{00000000-0005-0000-0000-0000D6020000}"/>
    <cellStyle name="20% - Accent4 9 6" xfId="729" xr:uid="{00000000-0005-0000-0000-0000D7020000}"/>
    <cellStyle name="20% - Accent5 10" xfId="730" xr:uid="{00000000-0005-0000-0000-0000D8020000}"/>
    <cellStyle name="20% - Accent5 10 2" xfId="731" xr:uid="{00000000-0005-0000-0000-0000D9020000}"/>
    <cellStyle name="20% - Accent5 10 2 2" xfId="732" xr:uid="{00000000-0005-0000-0000-0000DA020000}"/>
    <cellStyle name="20% - Accent5 10 2 2 2" xfId="733" xr:uid="{00000000-0005-0000-0000-0000DB020000}"/>
    <cellStyle name="20% - Accent5 10 2 3" xfId="734" xr:uid="{00000000-0005-0000-0000-0000DC020000}"/>
    <cellStyle name="20% - Accent5 10 2 4" xfId="735" xr:uid="{00000000-0005-0000-0000-0000DD020000}"/>
    <cellStyle name="20% - Accent5 10 3" xfId="736" xr:uid="{00000000-0005-0000-0000-0000DE020000}"/>
    <cellStyle name="20% - Accent5 10 3 2" xfId="737" xr:uid="{00000000-0005-0000-0000-0000DF020000}"/>
    <cellStyle name="20% - Accent5 10 4" xfId="738" xr:uid="{00000000-0005-0000-0000-0000E0020000}"/>
    <cellStyle name="20% - Accent5 10 5" xfId="739" xr:uid="{00000000-0005-0000-0000-0000E1020000}"/>
    <cellStyle name="20% - Accent5 11" xfId="740" xr:uid="{00000000-0005-0000-0000-0000E2020000}"/>
    <cellStyle name="20% - Accent5 11 2" xfId="741" xr:uid="{00000000-0005-0000-0000-0000E3020000}"/>
    <cellStyle name="20% - Accent5 11 2 2" xfId="742" xr:uid="{00000000-0005-0000-0000-0000E4020000}"/>
    <cellStyle name="20% - Accent5 11 2 2 2" xfId="743" xr:uid="{00000000-0005-0000-0000-0000E5020000}"/>
    <cellStyle name="20% - Accent5 11 2 3" xfId="744" xr:uid="{00000000-0005-0000-0000-0000E6020000}"/>
    <cellStyle name="20% - Accent5 11 2 4" xfId="745" xr:uid="{00000000-0005-0000-0000-0000E7020000}"/>
    <cellStyle name="20% - Accent5 11 3" xfId="746" xr:uid="{00000000-0005-0000-0000-0000E8020000}"/>
    <cellStyle name="20% - Accent5 11 3 2" xfId="747" xr:uid="{00000000-0005-0000-0000-0000E9020000}"/>
    <cellStyle name="20% - Accent5 11 4" xfId="748" xr:uid="{00000000-0005-0000-0000-0000EA020000}"/>
    <cellStyle name="20% - Accent5 11 5" xfId="749" xr:uid="{00000000-0005-0000-0000-0000EB020000}"/>
    <cellStyle name="20% - Accent5 12" xfId="750" xr:uid="{00000000-0005-0000-0000-0000EC020000}"/>
    <cellStyle name="20% - Accent5 12 2" xfId="751" xr:uid="{00000000-0005-0000-0000-0000ED020000}"/>
    <cellStyle name="20% - Accent5 12 2 2" xfId="752" xr:uid="{00000000-0005-0000-0000-0000EE020000}"/>
    <cellStyle name="20% - Accent5 12 3" xfId="753" xr:uid="{00000000-0005-0000-0000-0000EF020000}"/>
    <cellStyle name="20% - Accent5 12 4" xfId="754" xr:uid="{00000000-0005-0000-0000-0000F0020000}"/>
    <cellStyle name="20% - Accent5 13" xfId="755" xr:uid="{00000000-0005-0000-0000-0000F1020000}"/>
    <cellStyle name="20% - Accent5 13 2" xfId="756" xr:uid="{00000000-0005-0000-0000-0000F2020000}"/>
    <cellStyle name="20% - Accent5 14" xfId="757" xr:uid="{00000000-0005-0000-0000-0000F3020000}"/>
    <cellStyle name="20% - Accent5 14 2" xfId="758" xr:uid="{00000000-0005-0000-0000-0000F4020000}"/>
    <cellStyle name="20% - Accent5 15" xfId="759" xr:uid="{00000000-0005-0000-0000-0000F5020000}"/>
    <cellStyle name="20% - Accent5 16" xfId="760" xr:uid="{00000000-0005-0000-0000-0000F6020000}"/>
    <cellStyle name="20% - Accent5 2" xfId="761" xr:uid="{00000000-0005-0000-0000-0000F7020000}"/>
    <cellStyle name="20% - Accent5 2 2" xfId="762" xr:uid="{00000000-0005-0000-0000-0000F8020000}"/>
    <cellStyle name="20% - Accent5 2 2 2" xfId="763" xr:uid="{00000000-0005-0000-0000-0000F9020000}"/>
    <cellStyle name="20% - Accent5 2 2 2 2" xfId="764" xr:uid="{00000000-0005-0000-0000-0000FA020000}"/>
    <cellStyle name="20% - Accent5 2 2 2 2 2" xfId="765" xr:uid="{00000000-0005-0000-0000-0000FB020000}"/>
    <cellStyle name="20% - Accent5 2 2 2 2 2 2" xfId="766" xr:uid="{00000000-0005-0000-0000-0000FC020000}"/>
    <cellStyle name="20% - Accent5 2 2 2 2 3" xfId="767" xr:uid="{00000000-0005-0000-0000-0000FD020000}"/>
    <cellStyle name="20% - Accent5 2 2 2 2 4" xfId="768" xr:uid="{00000000-0005-0000-0000-0000FE020000}"/>
    <cellStyle name="20% - Accent5 2 2 2 3" xfId="769" xr:uid="{00000000-0005-0000-0000-0000FF020000}"/>
    <cellStyle name="20% - Accent5 2 2 2 3 2" xfId="770" xr:uid="{00000000-0005-0000-0000-000000030000}"/>
    <cellStyle name="20% - Accent5 2 2 2 4" xfId="771" xr:uid="{00000000-0005-0000-0000-000001030000}"/>
    <cellStyle name="20% - Accent5 2 2 2 5" xfId="772" xr:uid="{00000000-0005-0000-0000-000002030000}"/>
    <cellStyle name="20% - Accent5 2 2 3" xfId="773" xr:uid="{00000000-0005-0000-0000-000003030000}"/>
    <cellStyle name="20% - Accent5 2 2 3 2" xfId="774" xr:uid="{00000000-0005-0000-0000-000004030000}"/>
    <cellStyle name="20% - Accent5 2 2 3 2 2" xfId="775" xr:uid="{00000000-0005-0000-0000-000005030000}"/>
    <cellStyle name="20% - Accent5 2 2 3 3" xfId="776" xr:uid="{00000000-0005-0000-0000-000006030000}"/>
    <cellStyle name="20% - Accent5 2 2 3 4" xfId="777" xr:uid="{00000000-0005-0000-0000-000007030000}"/>
    <cellStyle name="20% - Accent5 2 2 4" xfId="778" xr:uid="{00000000-0005-0000-0000-000008030000}"/>
    <cellStyle name="20% - Accent5 2 2 4 2" xfId="779" xr:uid="{00000000-0005-0000-0000-000009030000}"/>
    <cellStyle name="20% - Accent5 2 2 5" xfId="780" xr:uid="{00000000-0005-0000-0000-00000A030000}"/>
    <cellStyle name="20% - Accent5 2 2 5 2" xfId="781" xr:uid="{00000000-0005-0000-0000-00000B030000}"/>
    <cellStyle name="20% - Accent5 2 2 6" xfId="782" xr:uid="{00000000-0005-0000-0000-00000C030000}"/>
    <cellStyle name="20% - Accent5 2 2 7" xfId="783" xr:uid="{00000000-0005-0000-0000-00000D030000}"/>
    <cellStyle name="20% - Accent5 2 3" xfId="784" xr:uid="{00000000-0005-0000-0000-00000E030000}"/>
    <cellStyle name="20% - Accent5 2 3 2" xfId="785" xr:uid="{00000000-0005-0000-0000-00000F030000}"/>
    <cellStyle name="20% - Accent5 2 3 2 2" xfId="786" xr:uid="{00000000-0005-0000-0000-000010030000}"/>
    <cellStyle name="20% - Accent5 2 3 2 2 2" xfId="787" xr:uid="{00000000-0005-0000-0000-000011030000}"/>
    <cellStyle name="20% - Accent5 2 3 2 3" xfId="788" xr:uid="{00000000-0005-0000-0000-000012030000}"/>
    <cellStyle name="20% - Accent5 2 3 2 4" xfId="789" xr:uid="{00000000-0005-0000-0000-000013030000}"/>
    <cellStyle name="20% - Accent5 2 3 3" xfId="790" xr:uid="{00000000-0005-0000-0000-000014030000}"/>
    <cellStyle name="20% - Accent5 2 3 3 2" xfId="791" xr:uid="{00000000-0005-0000-0000-000015030000}"/>
    <cellStyle name="20% - Accent5 2 3 4" xfId="792" xr:uid="{00000000-0005-0000-0000-000016030000}"/>
    <cellStyle name="20% - Accent5 2 3 5" xfId="793" xr:uid="{00000000-0005-0000-0000-000017030000}"/>
    <cellStyle name="20% - Accent5 2 4" xfId="794" xr:uid="{00000000-0005-0000-0000-000018030000}"/>
    <cellStyle name="20% - Accent5 2 4 2" xfId="795" xr:uid="{00000000-0005-0000-0000-000019030000}"/>
    <cellStyle name="20% - Accent5 2 4 2 2" xfId="796" xr:uid="{00000000-0005-0000-0000-00001A030000}"/>
    <cellStyle name="20% - Accent5 2 4 3" xfId="797" xr:uid="{00000000-0005-0000-0000-00001B030000}"/>
    <cellStyle name="20% - Accent5 2 4 4" xfId="798" xr:uid="{00000000-0005-0000-0000-00001C030000}"/>
    <cellStyle name="20% - Accent5 2 5" xfId="799" xr:uid="{00000000-0005-0000-0000-00001D030000}"/>
    <cellStyle name="20% - Accent5 2 5 2" xfId="800" xr:uid="{00000000-0005-0000-0000-00001E030000}"/>
    <cellStyle name="20% - Accent5 2 6" xfId="801" xr:uid="{00000000-0005-0000-0000-00001F030000}"/>
    <cellStyle name="20% - Accent5 2 6 2" xfId="802" xr:uid="{00000000-0005-0000-0000-000020030000}"/>
    <cellStyle name="20% - Accent5 2 7" xfId="803" xr:uid="{00000000-0005-0000-0000-000021030000}"/>
    <cellStyle name="20% - Accent5 2 8" xfId="804" xr:uid="{00000000-0005-0000-0000-000022030000}"/>
    <cellStyle name="20% - Accent5 3" xfId="805" xr:uid="{00000000-0005-0000-0000-000023030000}"/>
    <cellStyle name="20% - Accent5 3 2" xfId="806" xr:uid="{00000000-0005-0000-0000-000024030000}"/>
    <cellStyle name="20% - Accent5 4" xfId="807" xr:uid="{00000000-0005-0000-0000-000025030000}"/>
    <cellStyle name="20% - Accent5 4 2" xfId="808" xr:uid="{00000000-0005-0000-0000-000026030000}"/>
    <cellStyle name="20% - Accent5 4 2 2" xfId="809" xr:uid="{00000000-0005-0000-0000-000027030000}"/>
    <cellStyle name="20% - Accent5 4 2 2 2" xfId="810" xr:uid="{00000000-0005-0000-0000-000028030000}"/>
    <cellStyle name="20% - Accent5 4 2 2 2 2" xfId="811" xr:uid="{00000000-0005-0000-0000-000029030000}"/>
    <cellStyle name="20% - Accent5 4 2 2 3" xfId="812" xr:uid="{00000000-0005-0000-0000-00002A030000}"/>
    <cellStyle name="20% - Accent5 4 2 2 4" xfId="813" xr:uid="{00000000-0005-0000-0000-00002B030000}"/>
    <cellStyle name="20% - Accent5 4 2 3" xfId="814" xr:uid="{00000000-0005-0000-0000-00002C030000}"/>
    <cellStyle name="20% - Accent5 4 2 3 2" xfId="815" xr:uid="{00000000-0005-0000-0000-00002D030000}"/>
    <cellStyle name="20% - Accent5 4 2 4" xfId="816" xr:uid="{00000000-0005-0000-0000-00002E030000}"/>
    <cellStyle name="20% - Accent5 4 2 5" xfId="817" xr:uid="{00000000-0005-0000-0000-00002F030000}"/>
    <cellStyle name="20% - Accent5 4 3" xfId="818" xr:uid="{00000000-0005-0000-0000-000030030000}"/>
    <cellStyle name="20% - Accent5 4 3 2" xfId="819" xr:uid="{00000000-0005-0000-0000-000031030000}"/>
    <cellStyle name="20% - Accent5 4 3 2 2" xfId="820" xr:uid="{00000000-0005-0000-0000-000032030000}"/>
    <cellStyle name="20% - Accent5 4 3 3" xfId="821" xr:uid="{00000000-0005-0000-0000-000033030000}"/>
    <cellStyle name="20% - Accent5 4 3 4" xfId="822" xr:uid="{00000000-0005-0000-0000-000034030000}"/>
    <cellStyle name="20% - Accent5 4 4" xfId="823" xr:uid="{00000000-0005-0000-0000-000035030000}"/>
    <cellStyle name="20% - Accent5 4 4 2" xfId="824" xr:uid="{00000000-0005-0000-0000-000036030000}"/>
    <cellStyle name="20% - Accent5 4 5" xfId="825" xr:uid="{00000000-0005-0000-0000-000037030000}"/>
    <cellStyle name="20% - Accent5 4 5 2" xfId="826" xr:uid="{00000000-0005-0000-0000-000038030000}"/>
    <cellStyle name="20% - Accent5 4 6" xfId="827" xr:uid="{00000000-0005-0000-0000-000039030000}"/>
    <cellStyle name="20% - Accent5 4 7" xfId="828" xr:uid="{00000000-0005-0000-0000-00003A030000}"/>
    <cellStyle name="20% - Accent5 5" xfId="829" xr:uid="{00000000-0005-0000-0000-00003B030000}"/>
    <cellStyle name="20% - Accent5 5 2" xfId="830" xr:uid="{00000000-0005-0000-0000-00003C030000}"/>
    <cellStyle name="20% - Accent5 5 2 2" xfId="831" xr:uid="{00000000-0005-0000-0000-00003D030000}"/>
    <cellStyle name="20% - Accent5 5 2 2 2" xfId="832" xr:uid="{00000000-0005-0000-0000-00003E030000}"/>
    <cellStyle name="20% - Accent5 5 2 2 2 2" xfId="833" xr:uid="{00000000-0005-0000-0000-00003F030000}"/>
    <cellStyle name="20% - Accent5 5 2 2 3" xfId="834" xr:uid="{00000000-0005-0000-0000-000040030000}"/>
    <cellStyle name="20% - Accent5 5 2 2 4" xfId="835" xr:uid="{00000000-0005-0000-0000-000041030000}"/>
    <cellStyle name="20% - Accent5 5 2 3" xfId="836" xr:uid="{00000000-0005-0000-0000-000042030000}"/>
    <cellStyle name="20% - Accent5 5 2 3 2" xfId="837" xr:uid="{00000000-0005-0000-0000-000043030000}"/>
    <cellStyle name="20% - Accent5 5 2 4" xfId="838" xr:uid="{00000000-0005-0000-0000-000044030000}"/>
    <cellStyle name="20% - Accent5 5 2 5" xfId="839" xr:uid="{00000000-0005-0000-0000-000045030000}"/>
    <cellStyle name="20% - Accent5 5 3" xfId="840" xr:uid="{00000000-0005-0000-0000-000046030000}"/>
    <cellStyle name="20% - Accent5 5 3 2" xfId="841" xr:uid="{00000000-0005-0000-0000-000047030000}"/>
    <cellStyle name="20% - Accent5 5 3 2 2" xfId="842" xr:uid="{00000000-0005-0000-0000-000048030000}"/>
    <cellStyle name="20% - Accent5 5 3 3" xfId="843" xr:uid="{00000000-0005-0000-0000-000049030000}"/>
    <cellStyle name="20% - Accent5 5 3 4" xfId="844" xr:uid="{00000000-0005-0000-0000-00004A030000}"/>
    <cellStyle name="20% - Accent5 5 4" xfId="845" xr:uid="{00000000-0005-0000-0000-00004B030000}"/>
    <cellStyle name="20% - Accent5 5 4 2" xfId="846" xr:uid="{00000000-0005-0000-0000-00004C030000}"/>
    <cellStyle name="20% - Accent5 5 5" xfId="847" xr:uid="{00000000-0005-0000-0000-00004D030000}"/>
    <cellStyle name="20% - Accent5 5 5 2" xfId="848" xr:uid="{00000000-0005-0000-0000-00004E030000}"/>
    <cellStyle name="20% - Accent5 5 6" xfId="849" xr:uid="{00000000-0005-0000-0000-00004F030000}"/>
    <cellStyle name="20% - Accent5 5 7" xfId="850" xr:uid="{00000000-0005-0000-0000-000050030000}"/>
    <cellStyle name="20% - Accent5 6" xfId="851" xr:uid="{00000000-0005-0000-0000-000051030000}"/>
    <cellStyle name="20% - Accent5 7" xfId="852" xr:uid="{00000000-0005-0000-0000-000052030000}"/>
    <cellStyle name="20% - Accent5 7 2" xfId="853" xr:uid="{00000000-0005-0000-0000-000053030000}"/>
    <cellStyle name="20% - Accent5 7 2 2" xfId="854" xr:uid="{00000000-0005-0000-0000-000054030000}"/>
    <cellStyle name="20% - Accent5 7 2 2 2" xfId="855" xr:uid="{00000000-0005-0000-0000-000055030000}"/>
    <cellStyle name="20% - Accent5 7 2 2 2 2" xfId="856" xr:uid="{00000000-0005-0000-0000-000056030000}"/>
    <cellStyle name="20% - Accent5 7 2 2 3" xfId="857" xr:uid="{00000000-0005-0000-0000-000057030000}"/>
    <cellStyle name="20% - Accent5 7 2 2 4" xfId="858" xr:uid="{00000000-0005-0000-0000-000058030000}"/>
    <cellStyle name="20% - Accent5 7 2 3" xfId="859" xr:uid="{00000000-0005-0000-0000-000059030000}"/>
    <cellStyle name="20% - Accent5 7 2 3 2" xfId="860" xr:uid="{00000000-0005-0000-0000-00005A030000}"/>
    <cellStyle name="20% - Accent5 7 2 4" xfId="861" xr:uid="{00000000-0005-0000-0000-00005B030000}"/>
    <cellStyle name="20% - Accent5 7 2 5" xfId="862" xr:uid="{00000000-0005-0000-0000-00005C030000}"/>
    <cellStyle name="20% - Accent5 7 3" xfId="863" xr:uid="{00000000-0005-0000-0000-00005D030000}"/>
    <cellStyle name="20% - Accent5 7 3 2" xfId="864" xr:uid="{00000000-0005-0000-0000-00005E030000}"/>
    <cellStyle name="20% - Accent5 7 3 2 2" xfId="865" xr:uid="{00000000-0005-0000-0000-00005F030000}"/>
    <cellStyle name="20% - Accent5 7 3 3" xfId="866" xr:uid="{00000000-0005-0000-0000-000060030000}"/>
    <cellStyle name="20% - Accent5 7 3 4" xfId="867" xr:uid="{00000000-0005-0000-0000-000061030000}"/>
    <cellStyle name="20% - Accent5 7 4" xfId="868" xr:uid="{00000000-0005-0000-0000-000062030000}"/>
    <cellStyle name="20% - Accent5 7 4 2" xfId="869" xr:uid="{00000000-0005-0000-0000-000063030000}"/>
    <cellStyle name="20% - Accent5 7 5" xfId="870" xr:uid="{00000000-0005-0000-0000-000064030000}"/>
    <cellStyle name="20% - Accent5 7 6" xfId="871" xr:uid="{00000000-0005-0000-0000-000065030000}"/>
    <cellStyle name="20% - Accent5 8" xfId="872" xr:uid="{00000000-0005-0000-0000-000066030000}"/>
    <cellStyle name="20% - Accent5 8 2" xfId="873" xr:uid="{00000000-0005-0000-0000-000067030000}"/>
    <cellStyle name="20% - Accent5 8 2 2" xfId="874" xr:uid="{00000000-0005-0000-0000-000068030000}"/>
    <cellStyle name="20% - Accent5 8 2 2 2" xfId="875" xr:uid="{00000000-0005-0000-0000-000069030000}"/>
    <cellStyle name="20% - Accent5 8 2 2 2 2" xfId="876" xr:uid="{00000000-0005-0000-0000-00006A030000}"/>
    <cellStyle name="20% - Accent5 8 2 2 3" xfId="877" xr:uid="{00000000-0005-0000-0000-00006B030000}"/>
    <cellStyle name="20% - Accent5 8 2 2 4" xfId="878" xr:uid="{00000000-0005-0000-0000-00006C030000}"/>
    <cellStyle name="20% - Accent5 8 2 3" xfId="879" xr:uid="{00000000-0005-0000-0000-00006D030000}"/>
    <cellStyle name="20% - Accent5 8 2 3 2" xfId="880" xr:uid="{00000000-0005-0000-0000-00006E030000}"/>
    <cellStyle name="20% - Accent5 8 2 4" xfId="881" xr:uid="{00000000-0005-0000-0000-00006F030000}"/>
    <cellStyle name="20% - Accent5 8 2 5" xfId="882" xr:uid="{00000000-0005-0000-0000-000070030000}"/>
    <cellStyle name="20% - Accent5 8 3" xfId="883" xr:uid="{00000000-0005-0000-0000-000071030000}"/>
    <cellStyle name="20% - Accent5 8 3 2" xfId="884" xr:uid="{00000000-0005-0000-0000-000072030000}"/>
    <cellStyle name="20% - Accent5 8 3 2 2" xfId="885" xr:uid="{00000000-0005-0000-0000-000073030000}"/>
    <cellStyle name="20% - Accent5 8 3 3" xfId="886" xr:uid="{00000000-0005-0000-0000-000074030000}"/>
    <cellStyle name="20% - Accent5 8 3 4" xfId="887" xr:uid="{00000000-0005-0000-0000-000075030000}"/>
    <cellStyle name="20% - Accent5 8 4" xfId="888" xr:uid="{00000000-0005-0000-0000-000076030000}"/>
    <cellStyle name="20% - Accent5 8 4 2" xfId="889" xr:uid="{00000000-0005-0000-0000-000077030000}"/>
    <cellStyle name="20% - Accent5 8 5" xfId="890" xr:uid="{00000000-0005-0000-0000-000078030000}"/>
    <cellStyle name="20% - Accent5 8 6" xfId="891" xr:uid="{00000000-0005-0000-0000-000079030000}"/>
    <cellStyle name="20% - Accent5 9" xfId="892" xr:uid="{00000000-0005-0000-0000-00007A030000}"/>
    <cellStyle name="20% - Accent5 9 2" xfId="893" xr:uid="{00000000-0005-0000-0000-00007B030000}"/>
    <cellStyle name="20% - Accent5 9 2 2" xfId="894" xr:uid="{00000000-0005-0000-0000-00007C030000}"/>
    <cellStyle name="20% - Accent5 9 2 2 2" xfId="895" xr:uid="{00000000-0005-0000-0000-00007D030000}"/>
    <cellStyle name="20% - Accent5 9 2 2 2 2" xfId="896" xr:uid="{00000000-0005-0000-0000-00007E030000}"/>
    <cellStyle name="20% - Accent5 9 2 2 3" xfId="897" xr:uid="{00000000-0005-0000-0000-00007F030000}"/>
    <cellStyle name="20% - Accent5 9 2 2 4" xfId="898" xr:uid="{00000000-0005-0000-0000-000080030000}"/>
    <cellStyle name="20% - Accent5 9 2 3" xfId="899" xr:uid="{00000000-0005-0000-0000-000081030000}"/>
    <cellStyle name="20% - Accent5 9 2 3 2" xfId="900" xr:uid="{00000000-0005-0000-0000-000082030000}"/>
    <cellStyle name="20% - Accent5 9 2 4" xfId="901" xr:uid="{00000000-0005-0000-0000-000083030000}"/>
    <cellStyle name="20% - Accent5 9 2 5" xfId="902" xr:uid="{00000000-0005-0000-0000-000084030000}"/>
    <cellStyle name="20% - Accent5 9 3" xfId="903" xr:uid="{00000000-0005-0000-0000-000085030000}"/>
    <cellStyle name="20% - Accent5 9 3 2" xfId="904" xr:uid="{00000000-0005-0000-0000-000086030000}"/>
    <cellStyle name="20% - Accent5 9 3 2 2" xfId="905" xr:uid="{00000000-0005-0000-0000-000087030000}"/>
    <cellStyle name="20% - Accent5 9 3 3" xfId="906" xr:uid="{00000000-0005-0000-0000-000088030000}"/>
    <cellStyle name="20% - Accent5 9 3 4" xfId="907" xr:uid="{00000000-0005-0000-0000-000089030000}"/>
    <cellStyle name="20% - Accent5 9 4" xfId="908" xr:uid="{00000000-0005-0000-0000-00008A030000}"/>
    <cellStyle name="20% - Accent5 9 4 2" xfId="909" xr:uid="{00000000-0005-0000-0000-00008B030000}"/>
    <cellStyle name="20% - Accent5 9 5" xfId="910" xr:uid="{00000000-0005-0000-0000-00008C030000}"/>
    <cellStyle name="20% - Accent5 9 6" xfId="911" xr:uid="{00000000-0005-0000-0000-00008D030000}"/>
    <cellStyle name="20% - Accent6 10" xfId="912" xr:uid="{00000000-0005-0000-0000-00008E030000}"/>
    <cellStyle name="20% - Accent6 10 2" xfId="913" xr:uid="{00000000-0005-0000-0000-00008F030000}"/>
    <cellStyle name="20% - Accent6 10 2 2" xfId="914" xr:uid="{00000000-0005-0000-0000-000090030000}"/>
    <cellStyle name="20% - Accent6 10 2 2 2" xfId="915" xr:uid="{00000000-0005-0000-0000-000091030000}"/>
    <cellStyle name="20% - Accent6 10 2 3" xfId="916" xr:uid="{00000000-0005-0000-0000-000092030000}"/>
    <cellStyle name="20% - Accent6 10 2 4" xfId="917" xr:uid="{00000000-0005-0000-0000-000093030000}"/>
    <cellStyle name="20% - Accent6 10 3" xfId="918" xr:uid="{00000000-0005-0000-0000-000094030000}"/>
    <cellStyle name="20% - Accent6 10 3 2" xfId="919" xr:uid="{00000000-0005-0000-0000-000095030000}"/>
    <cellStyle name="20% - Accent6 10 4" xfId="920" xr:uid="{00000000-0005-0000-0000-000096030000}"/>
    <cellStyle name="20% - Accent6 10 5" xfId="921" xr:uid="{00000000-0005-0000-0000-000097030000}"/>
    <cellStyle name="20% - Accent6 11" xfId="922" xr:uid="{00000000-0005-0000-0000-000098030000}"/>
    <cellStyle name="20% - Accent6 11 2" xfId="923" xr:uid="{00000000-0005-0000-0000-000099030000}"/>
    <cellStyle name="20% - Accent6 11 2 2" xfId="924" xr:uid="{00000000-0005-0000-0000-00009A030000}"/>
    <cellStyle name="20% - Accent6 11 2 2 2" xfId="925" xr:uid="{00000000-0005-0000-0000-00009B030000}"/>
    <cellStyle name="20% - Accent6 11 2 3" xfId="926" xr:uid="{00000000-0005-0000-0000-00009C030000}"/>
    <cellStyle name="20% - Accent6 11 2 4" xfId="927" xr:uid="{00000000-0005-0000-0000-00009D030000}"/>
    <cellStyle name="20% - Accent6 11 3" xfId="928" xr:uid="{00000000-0005-0000-0000-00009E030000}"/>
    <cellStyle name="20% - Accent6 11 3 2" xfId="929" xr:uid="{00000000-0005-0000-0000-00009F030000}"/>
    <cellStyle name="20% - Accent6 11 4" xfId="930" xr:uid="{00000000-0005-0000-0000-0000A0030000}"/>
    <cellStyle name="20% - Accent6 11 5" xfId="931" xr:uid="{00000000-0005-0000-0000-0000A1030000}"/>
    <cellStyle name="20% - Accent6 12" xfId="932" xr:uid="{00000000-0005-0000-0000-0000A2030000}"/>
    <cellStyle name="20% - Accent6 12 2" xfId="933" xr:uid="{00000000-0005-0000-0000-0000A3030000}"/>
    <cellStyle name="20% - Accent6 12 2 2" xfId="934" xr:uid="{00000000-0005-0000-0000-0000A4030000}"/>
    <cellStyle name="20% - Accent6 12 3" xfId="935" xr:uid="{00000000-0005-0000-0000-0000A5030000}"/>
    <cellStyle name="20% - Accent6 12 4" xfId="936" xr:uid="{00000000-0005-0000-0000-0000A6030000}"/>
    <cellStyle name="20% - Accent6 13" xfId="937" xr:uid="{00000000-0005-0000-0000-0000A7030000}"/>
    <cellStyle name="20% - Accent6 13 2" xfId="938" xr:uid="{00000000-0005-0000-0000-0000A8030000}"/>
    <cellStyle name="20% - Accent6 14" xfId="939" xr:uid="{00000000-0005-0000-0000-0000A9030000}"/>
    <cellStyle name="20% - Accent6 14 2" xfId="940" xr:uid="{00000000-0005-0000-0000-0000AA030000}"/>
    <cellStyle name="20% - Accent6 15" xfId="941" xr:uid="{00000000-0005-0000-0000-0000AB030000}"/>
    <cellStyle name="20% - Accent6 16" xfId="942" xr:uid="{00000000-0005-0000-0000-0000AC030000}"/>
    <cellStyle name="20% - Accent6 2" xfId="943" xr:uid="{00000000-0005-0000-0000-0000AD030000}"/>
    <cellStyle name="20% - Accent6 2 2" xfId="944" xr:uid="{00000000-0005-0000-0000-0000AE030000}"/>
    <cellStyle name="20% - Accent6 2 2 2" xfId="945" xr:uid="{00000000-0005-0000-0000-0000AF030000}"/>
    <cellStyle name="20% - Accent6 2 2 2 2" xfId="946" xr:uid="{00000000-0005-0000-0000-0000B0030000}"/>
    <cellStyle name="20% - Accent6 2 2 2 2 2" xfId="947" xr:uid="{00000000-0005-0000-0000-0000B1030000}"/>
    <cellStyle name="20% - Accent6 2 2 2 2 2 2" xfId="948" xr:uid="{00000000-0005-0000-0000-0000B2030000}"/>
    <cellStyle name="20% - Accent6 2 2 2 2 3" xfId="949" xr:uid="{00000000-0005-0000-0000-0000B3030000}"/>
    <cellStyle name="20% - Accent6 2 2 2 2 4" xfId="950" xr:uid="{00000000-0005-0000-0000-0000B4030000}"/>
    <cellStyle name="20% - Accent6 2 2 2 3" xfId="951" xr:uid="{00000000-0005-0000-0000-0000B5030000}"/>
    <cellStyle name="20% - Accent6 2 2 2 3 2" xfId="952" xr:uid="{00000000-0005-0000-0000-0000B6030000}"/>
    <cellStyle name="20% - Accent6 2 2 2 4" xfId="953" xr:uid="{00000000-0005-0000-0000-0000B7030000}"/>
    <cellStyle name="20% - Accent6 2 2 2 5" xfId="954" xr:uid="{00000000-0005-0000-0000-0000B8030000}"/>
    <cellStyle name="20% - Accent6 2 2 3" xfId="955" xr:uid="{00000000-0005-0000-0000-0000B9030000}"/>
    <cellStyle name="20% - Accent6 2 2 3 2" xfId="956" xr:uid="{00000000-0005-0000-0000-0000BA030000}"/>
    <cellStyle name="20% - Accent6 2 2 3 2 2" xfId="957" xr:uid="{00000000-0005-0000-0000-0000BB030000}"/>
    <cellStyle name="20% - Accent6 2 2 3 3" xfId="958" xr:uid="{00000000-0005-0000-0000-0000BC030000}"/>
    <cellStyle name="20% - Accent6 2 2 3 4" xfId="959" xr:uid="{00000000-0005-0000-0000-0000BD030000}"/>
    <cellStyle name="20% - Accent6 2 2 4" xfId="960" xr:uid="{00000000-0005-0000-0000-0000BE030000}"/>
    <cellStyle name="20% - Accent6 2 2 4 2" xfId="961" xr:uid="{00000000-0005-0000-0000-0000BF030000}"/>
    <cellStyle name="20% - Accent6 2 2 5" xfId="962" xr:uid="{00000000-0005-0000-0000-0000C0030000}"/>
    <cellStyle name="20% - Accent6 2 2 5 2" xfId="963" xr:uid="{00000000-0005-0000-0000-0000C1030000}"/>
    <cellStyle name="20% - Accent6 2 2 6" xfId="964" xr:uid="{00000000-0005-0000-0000-0000C2030000}"/>
    <cellStyle name="20% - Accent6 2 2 7" xfId="965" xr:uid="{00000000-0005-0000-0000-0000C3030000}"/>
    <cellStyle name="20% - Accent6 2 3" xfId="966" xr:uid="{00000000-0005-0000-0000-0000C4030000}"/>
    <cellStyle name="20% - Accent6 2 3 2" xfId="967" xr:uid="{00000000-0005-0000-0000-0000C5030000}"/>
    <cellStyle name="20% - Accent6 2 3 2 2" xfId="968" xr:uid="{00000000-0005-0000-0000-0000C6030000}"/>
    <cellStyle name="20% - Accent6 2 3 2 2 2" xfId="969" xr:uid="{00000000-0005-0000-0000-0000C7030000}"/>
    <cellStyle name="20% - Accent6 2 3 2 3" xfId="970" xr:uid="{00000000-0005-0000-0000-0000C8030000}"/>
    <cellStyle name="20% - Accent6 2 3 2 4" xfId="971" xr:uid="{00000000-0005-0000-0000-0000C9030000}"/>
    <cellStyle name="20% - Accent6 2 3 3" xfId="972" xr:uid="{00000000-0005-0000-0000-0000CA030000}"/>
    <cellStyle name="20% - Accent6 2 3 3 2" xfId="973" xr:uid="{00000000-0005-0000-0000-0000CB030000}"/>
    <cellStyle name="20% - Accent6 2 3 4" xfId="974" xr:uid="{00000000-0005-0000-0000-0000CC030000}"/>
    <cellStyle name="20% - Accent6 2 3 5" xfId="975" xr:uid="{00000000-0005-0000-0000-0000CD030000}"/>
    <cellStyle name="20% - Accent6 2 4" xfId="976" xr:uid="{00000000-0005-0000-0000-0000CE030000}"/>
    <cellStyle name="20% - Accent6 2 4 2" xfId="977" xr:uid="{00000000-0005-0000-0000-0000CF030000}"/>
    <cellStyle name="20% - Accent6 2 4 2 2" xfId="978" xr:uid="{00000000-0005-0000-0000-0000D0030000}"/>
    <cellStyle name="20% - Accent6 2 4 3" xfId="979" xr:uid="{00000000-0005-0000-0000-0000D1030000}"/>
    <cellStyle name="20% - Accent6 2 4 4" xfId="980" xr:uid="{00000000-0005-0000-0000-0000D2030000}"/>
    <cellStyle name="20% - Accent6 2 5" xfId="981" xr:uid="{00000000-0005-0000-0000-0000D3030000}"/>
    <cellStyle name="20% - Accent6 2 5 2" xfId="982" xr:uid="{00000000-0005-0000-0000-0000D4030000}"/>
    <cellStyle name="20% - Accent6 2 6" xfId="983" xr:uid="{00000000-0005-0000-0000-0000D5030000}"/>
    <cellStyle name="20% - Accent6 2 6 2" xfId="984" xr:uid="{00000000-0005-0000-0000-0000D6030000}"/>
    <cellStyle name="20% - Accent6 2 7" xfId="985" xr:uid="{00000000-0005-0000-0000-0000D7030000}"/>
    <cellStyle name="20% - Accent6 2 8" xfId="986" xr:uid="{00000000-0005-0000-0000-0000D8030000}"/>
    <cellStyle name="20% - Accent6 3" xfId="987" xr:uid="{00000000-0005-0000-0000-0000D9030000}"/>
    <cellStyle name="20% - Accent6 3 2" xfId="988" xr:uid="{00000000-0005-0000-0000-0000DA030000}"/>
    <cellStyle name="20% - Accent6 4" xfId="989" xr:uid="{00000000-0005-0000-0000-0000DB030000}"/>
    <cellStyle name="20% - Accent6 4 2" xfId="990" xr:uid="{00000000-0005-0000-0000-0000DC030000}"/>
    <cellStyle name="20% - Accent6 4 2 2" xfId="991" xr:uid="{00000000-0005-0000-0000-0000DD030000}"/>
    <cellStyle name="20% - Accent6 4 2 2 2" xfId="992" xr:uid="{00000000-0005-0000-0000-0000DE030000}"/>
    <cellStyle name="20% - Accent6 4 2 2 2 2" xfId="993" xr:uid="{00000000-0005-0000-0000-0000DF030000}"/>
    <cellStyle name="20% - Accent6 4 2 2 3" xfId="994" xr:uid="{00000000-0005-0000-0000-0000E0030000}"/>
    <cellStyle name="20% - Accent6 4 2 2 4" xfId="995" xr:uid="{00000000-0005-0000-0000-0000E1030000}"/>
    <cellStyle name="20% - Accent6 4 2 3" xfId="996" xr:uid="{00000000-0005-0000-0000-0000E2030000}"/>
    <cellStyle name="20% - Accent6 4 2 3 2" xfId="997" xr:uid="{00000000-0005-0000-0000-0000E3030000}"/>
    <cellStyle name="20% - Accent6 4 2 4" xfId="998" xr:uid="{00000000-0005-0000-0000-0000E4030000}"/>
    <cellStyle name="20% - Accent6 4 2 5" xfId="999" xr:uid="{00000000-0005-0000-0000-0000E5030000}"/>
    <cellStyle name="20% - Accent6 4 3" xfId="1000" xr:uid="{00000000-0005-0000-0000-0000E6030000}"/>
    <cellStyle name="20% - Accent6 4 3 2" xfId="1001" xr:uid="{00000000-0005-0000-0000-0000E7030000}"/>
    <cellStyle name="20% - Accent6 4 3 2 2" xfId="1002" xr:uid="{00000000-0005-0000-0000-0000E8030000}"/>
    <cellStyle name="20% - Accent6 4 3 3" xfId="1003" xr:uid="{00000000-0005-0000-0000-0000E9030000}"/>
    <cellStyle name="20% - Accent6 4 3 4" xfId="1004" xr:uid="{00000000-0005-0000-0000-0000EA030000}"/>
    <cellStyle name="20% - Accent6 4 4" xfId="1005" xr:uid="{00000000-0005-0000-0000-0000EB030000}"/>
    <cellStyle name="20% - Accent6 4 4 2" xfId="1006" xr:uid="{00000000-0005-0000-0000-0000EC030000}"/>
    <cellStyle name="20% - Accent6 4 5" xfId="1007" xr:uid="{00000000-0005-0000-0000-0000ED030000}"/>
    <cellStyle name="20% - Accent6 4 5 2" xfId="1008" xr:uid="{00000000-0005-0000-0000-0000EE030000}"/>
    <cellStyle name="20% - Accent6 4 6" xfId="1009" xr:uid="{00000000-0005-0000-0000-0000EF030000}"/>
    <cellStyle name="20% - Accent6 4 7" xfId="1010" xr:uid="{00000000-0005-0000-0000-0000F0030000}"/>
    <cellStyle name="20% - Accent6 5" xfId="1011" xr:uid="{00000000-0005-0000-0000-0000F1030000}"/>
    <cellStyle name="20% - Accent6 5 2" xfId="1012" xr:uid="{00000000-0005-0000-0000-0000F2030000}"/>
    <cellStyle name="20% - Accent6 5 2 2" xfId="1013" xr:uid="{00000000-0005-0000-0000-0000F3030000}"/>
    <cellStyle name="20% - Accent6 5 2 2 2" xfId="1014" xr:uid="{00000000-0005-0000-0000-0000F4030000}"/>
    <cellStyle name="20% - Accent6 5 2 2 2 2" xfId="1015" xr:uid="{00000000-0005-0000-0000-0000F5030000}"/>
    <cellStyle name="20% - Accent6 5 2 2 3" xfId="1016" xr:uid="{00000000-0005-0000-0000-0000F6030000}"/>
    <cellStyle name="20% - Accent6 5 2 2 4" xfId="1017" xr:uid="{00000000-0005-0000-0000-0000F7030000}"/>
    <cellStyle name="20% - Accent6 5 2 3" xfId="1018" xr:uid="{00000000-0005-0000-0000-0000F8030000}"/>
    <cellStyle name="20% - Accent6 5 2 3 2" xfId="1019" xr:uid="{00000000-0005-0000-0000-0000F9030000}"/>
    <cellStyle name="20% - Accent6 5 2 4" xfId="1020" xr:uid="{00000000-0005-0000-0000-0000FA030000}"/>
    <cellStyle name="20% - Accent6 5 2 5" xfId="1021" xr:uid="{00000000-0005-0000-0000-0000FB030000}"/>
    <cellStyle name="20% - Accent6 5 3" xfId="1022" xr:uid="{00000000-0005-0000-0000-0000FC030000}"/>
    <cellStyle name="20% - Accent6 5 3 2" xfId="1023" xr:uid="{00000000-0005-0000-0000-0000FD030000}"/>
    <cellStyle name="20% - Accent6 5 3 2 2" xfId="1024" xr:uid="{00000000-0005-0000-0000-0000FE030000}"/>
    <cellStyle name="20% - Accent6 5 3 3" xfId="1025" xr:uid="{00000000-0005-0000-0000-0000FF030000}"/>
    <cellStyle name="20% - Accent6 5 3 4" xfId="1026" xr:uid="{00000000-0005-0000-0000-000000040000}"/>
    <cellStyle name="20% - Accent6 5 4" xfId="1027" xr:uid="{00000000-0005-0000-0000-000001040000}"/>
    <cellStyle name="20% - Accent6 5 4 2" xfId="1028" xr:uid="{00000000-0005-0000-0000-000002040000}"/>
    <cellStyle name="20% - Accent6 5 5" xfId="1029" xr:uid="{00000000-0005-0000-0000-000003040000}"/>
    <cellStyle name="20% - Accent6 5 5 2" xfId="1030" xr:uid="{00000000-0005-0000-0000-000004040000}"/>
    <cellStyle name="20% - Accent6 5 6" xfId="1031" xr:uid="{00000000-0005-0000-0000-000005040000}"/>
    <cellStyle name="20% - Accent6 5 7" xfId="1032" xr:uid="{00000000-0005-0000-0000-000006040000}"/>
    <cellStyle name="20% - Accent6 6" xfId="1033" xr:uid="{00000000-0005-0000-0000-000007040000}"/>
    <cellStyle name="20% - Accent6 7" xfId="1034" xr:uid="{00000000-0005-0000-0000-000008040000}"/>
    <cellStyle name="20% - Accent6 7 2" xfId="1035" xr:uid="{00000000-0005-0000-0000-000009040000}"/>
    <cellStyle name="20% - Accent6 7 2 2" xfId="1036" xr:uid="{00000000-0005-0000-0000-00000A040000}"/>
    <cellStyle name="20% - Accent6 7 2 2 2" xfId="1037" xr:uid="{00000000-0005-0000-0000-00000B040000}"/>
    <cellStyle name="20% - Accent6 7 2 2 2 2" xfId="1038" xr:uid="{00000000-0005-0000-0000-00000C040000}"/>
    <cellStyle name="20% - Accent6 7 2 2 3" xfId="1039" xr:uid="{00000000-0005-0000-0000-00000D040000}"/>
    <cellStyle name="20% - Accent6 7 2 2 4" xfId="1040" xr:uid="{00000000-0005-0000-0000-00000E040000}"/>
    <cellStyle name="20% - Accent6 7 2 3" xfId="1041" xr:uid="{00000000-0005-0000-0000-00000F040000}"/>
    <cellStyle name="20% - Accent6 7 2 3 2" xfId="1042" xr:uid="{00000000-0005-0000-0000-000010040000}"/>
    <cellStyle name="20% - Accent6 7 2 4" xfId="1043" xr:uid="{00000000-0005-0000-0000-000011040000}"/>
    <cellStyle name="20% - Accent6 7 2 5" xfId="1044" xr:uid="{00000000-0005-0000-0000-000012040000}"/>
    <cellStyle name="20% - Accent6 7 3" xfId="1045" xr:uid="{00000000-0005-0000-0000-000013040000}"/>
    <cellStyle name="20% - Accent6 7 3 2" xfId="1046" xr:uid="{00000000-0005-0000-0000-000014040000}"/>
    <cellStyle name="20% - Accent6 7 3 2 2" xfId="1047" xr:uid="{00000000-0005-0000-0000-000015040000}"/>
    <cellStyle name="20% - Accent6 7 3 3" xfId="1048" xr:uid="{00000000-0005-0000-0000-000016040000}"/>
    <cellStyle name="20% - Accent6 7 3 4" xfId="1049" xr:uid="{00000000-0005-0000-0000-000017040000}"/>
    <cellStyle name="20% - Accent6 7 4" xfId="1050" xr:uid="{00000000-0005-0000-0000-000018040000}"/>
    <cellStyle name="20% - Accent6 7 4 2" xfId="1051" xr:uid="{00000000-0005-0000-0000-000019040000}"/>
    <cellStyle name="20% - Accent6 7 5" xfId="1052" xr:uid="{00000000-0005-0000-0000-00001A040000}"/>
    <cellStyle name="20% - Accent6 7 6" xfId="1053" xr:uid="{00000000-0005-0000-0000-00001B040000}"/>
    <cellStyle name="20% - Accent6 8" xfId="1054" xr:uid="{00000000-0005-0000-0000-00001C040000}"/>
    <cellStyle name="20% - Accent6 8 2" xfId="1055" xr:uid="{00000000-0005-0000-0000-00001D040000}"/>
    <cellStyle name="20% - Accent6 8 2 2" xfId="1056" xr:uid="{00000000-0005-0000-0000-00001E040000}"/>
    <cellStyle name="20% - Accent6 8 2 2 2" xfId="1057" xr:uid="{00000000-0005-0000-0000-00001F040000}"/>
    <cellStyle name="20% - Accent6 8 2 2 2 2" xfId="1058" xr:uid="{00000000-0005-0000-0000-000020040000}"/>
    <cellStyle name="20% - Accent6 8 2 2 3" xfId="1059" xr:uid="{00000000-0005-0000-0000-000021040000}"/>
    <cellStyle name="20% - Accent6 8 2 2 4" xfId="1060" xr:uid="{00000000-0005-0000-0000-000022040000}"/>
    <cellStyle name="20% - Accent6 8 2 3" xfId="1061" xr:uid="{00000000-0005-0000-0000-000023040000}"/>
    <cellStyle name="20% - Accent6 8 2 3 2" xfId="1062" xr:uid="{00000000-0005-0000-0000-000024040000}"/>
    <cellStyle name="20% - Accent6 8 2 4" xfId="1063" xr:uid="{00000000-0005-0000-0000-000025040000}"/>
    <cellStyle name="20% - Accent6 8 2 5" xfId="1064" xr:uid="{00000000-0005-0000-0000-000026040000}"/>
    <cellStyle name="20% - Accent6 8 3" xfId="1065" xr:uid="{00000000-0005-0000-0000-000027040000}"/>
    <cellStyle name="20% - Accent6 8 3 2" xfId="1066" xr:uid="{00000000-0005-0000-0000-000028040000}"/>
    <cellStyle name="20% - Accent6 8 3 2 2" xfId="1067" xr:uid="{00000000-0005-0000-0000-000029040000}"/>
    <cellStyle name="20% - Accent6 8 3 3" xfId="1068" xr:uid="{00000000-0005-0000-0000-00002A040000}"/>
    <cellStyle name="20% - Accent6 8 3 4" xfId="1069" xr:uid="{00000000-0005-0000-0000-00002B040000}"/>
    <cellStyle name="20% - Accent6 8 4" xfId="1070" xr:uid="{00000000-0005-0000-0000-00002C040000}"/>
    <cellStyle name="20% - Accent6 8 4 2" xfId="1071" xr:uid="{00000000-0005-0000-0000-00002D040000}"/>
    <cellStyle name="20% - Accent6 8 5" xfId="1072" xr:uid="{00000000-0005-0000-0000-00002E040000}"/>
    <cellStyle name="20% - Accent6 8 6" xfId="1073" xr:uid="{00000000-0005-0000-0000-00002F040000}"/>
    <cellStyle name="20% - Accent6 9" xfId="1074" xr:uid="{00000000-0005-0000-0000-000030040000}"/>
    <cellStyle name="20% - Accent6 9 2" xfId="1075" xr:uid="{00000000-0005-0000-0000-000031040000}"/>
    <cellStyle name="20% - Accent6 9 2 2" xfId="1076" xr:uid="{00000000-0005-0000-0000-000032040000}"/>
    <cellStyle name="20% - Accent6 9 2 2 2" xfId="1077" xr:uid="{00000000-0005-0000-0000-000033040000}"/>
    <cellStyle name="20% - Accent6 9 2 2 2 2" xfId="1078" xr:uid="{00000000-0005-0000-0000-000034040000}"/>
    <cellStyle name="20% - Accent6 9 2 2 3" xfId="1079" xr:uid="{00000000-0005-0000-0000-000035040000}"/>
    <cellStyle name="20% - Accent6 9 2 2 4" xfId="1080" xr:uid="{00000000-0005-0000-0000-000036040000}"/>
    <cellStyle name="20% - Accent6 9 2 3" xfId="1081" xr:uid="{00000000-0005-0000-0000-000037040000}"/>
    <cellStyle name="20% - Accent6 9 2 3 2" xfId="1082" xr:uid="{00000000-0005-0000-0000-000038040000}"/>
    <cellStyle name="20% - Accent6 9 2 4" xfId="1083" xr:uid="{00000000-0005-0000-0000-000039040000}"/>
    <cellStyle name="20% - Accent6 9 2 5" xfId="1084" xr:uid="{00000000-0005-0000-0000-00003A040000}"/>
    <cellStyle name="20% - Accent6 9 3" xfId="1085" xr:uid="{00000000-0005-0000-0000-00003B040000}"/>
    <cellStyle name="20% - Accent6 9 3 2" xfId="1086" xr:uid="{00000000-0005-0000-0000-00003C040000}"/>
    <cellStyle name="20% - Accent6 9 3 2 2" xfId="1087" xr:uid="{00000000-0005-0000-0000-00003D040000}"/>
    <cellStyle name="20% - Accent6 9 3 3" xfId="1088" xr:uid="{00000000-0005-0000-0000-00003E040000}"/>
    <cellStyle name="20% - Accent6 9 3 4" xfId="1089" xr:uid="{00000000-0005-0000-0000-00003F040000}"/>
    <cellStyle name="20% - Accent6 9 4" xfId="1090" xr:uid="{00000000-0005-0000-0000-000040040000}"/>
    <cellStyle name="20% - Accent6 9 4 2" xfId="1091" xr:uid="{00000000-0005-0000-0000-000041040000}"/>
    <cellStyle name="20% - Accent6 9 5" xfId="1092" xr:uid="{00000000-0005-0000-0000-000042040000}"/>
    <cellStyle name="20% - Accent6 9 6" xfId="1093" xr:uid="{00000000-0005-0000-0000-000043040000}"/>
    <cellStyle name="40% - Accent1 10" xfId="1094" xr:uid="{00000000-0005-0000-0000-000044040000}"/>
    <cellStyle name="40% - Accent1 10 2" xfId="1095" xr:uid="{00000000-0005-0000-0000-000045040000}"/>
    <cellStyle name="40% - Accent1 10 2 2" xfId="1096" xr:uid="{00000000-0005-0000-0000-000046040000}"/>
    <cellStyle name="40% - Accent1 10 2 2 2" xfId="1097" xr:uid="{00000000-0005-0000-0000-000047040000}"/>
    <cellStyle name="40% - Accent1 10 2 3" xfId="1098" xr:uid="{00000000-0005-0000-0000-000048040000}"/>
    <cellStyle name="40% - Accent1 10 2 4" xfId="1099" xr:uid="{00000000-0005-0000-0000-000049040000}"/>
    <cellStyle name="40% - Accent1 10 3" xfId="1100" xr:uid="{00000000-0005-0000-0000-00004A040000}"/>
    <cellStyle name="40% - Accent1 10 3 2" xfId="1101" xr:uid="{00000000-0005-0000-0000-00004B040000}"/>
    <cellStyle name="40% - Accent1 10 4" xfId="1102" xr:uid="{00000000-0005-0000-0000-00004C040000}"/>
    <cellStyle name="40% - Accent1 10 5" xfId="1103" xr:uid="{00000000-0005-0000-0000-00004D040000}"/>
    <cellStyle name="40% - Accent1 11" xfId="1104" xr:uid="{00000000-0005-0000-0000-00004E040000}"/>
    <cellStyle name="40% - Accent1 11 2" xfId="1105" xr:uid="{00000000-0005-0000-0000-00004F040000}"/>
    <cellStyle name="40% - Accent1 11 2 2" xfId="1106" xr:uid="{00000000-0005-0000-0000-000050040000}"/>
    <cellStyle name="40% - Accent1 11 2 2 2" xfId="1107" xr:uid="{00000000-0005-0000-0000-000051040000}"/>
    <cellStyle name="40% - Accent1 11 2 3" xfId="1108" xr:uid="{00000000-0005-0000-0000-000052040000}"/>
    <cellStyle name="40% - Accent1 11 2 4" xfId="1109" xr:uid="{00000000-0005-0000-0000-000053040000}"/>
    <cellStyle name="40% - Accent1 11 3" xfId="1110" xr:uid="{00000000-0005-0000-0000-000054040000}"/>
    <cellStyle name="40% - Accent1 11 3 2" xfId="1111" xr:uid="{00000000-0005-0000-0000-000055040000}"/>
    <cellStyle name="40% - Accent1 11 4" xfId="1112" xr:uid="{00000000-0005-0000-0000-000056040000}"/>
    <cellStyle name="40% - Accent1 11 5" xfId="1113" xr:uid="{00000000-0005-0000-0000-000057040000}"/>
    <cellStyle name="40% - Accent1 12" xfId="1114" xr:uid="{00000000-0005-0000-0000-000058040000}"/>
    <cellStyle name="40% - Accent1 12 2" xfId="1115" xr:uid="{00000000-0005-0000-0000-000059040000}"/>
    <cellStyle name="40% - Accent1 12 2 2" xfId="1116" xr:uid="{00000000-0005-0000-0000-00005A040000}"/>
    <cellStyle name="40% - Accent1 12 3" xfId="1117" xr:uid="{00000000-0005-0000-0000-00005B040000}"/>
    <cellStyle name="40% - Accent1 12 4" xfId="1118" xr:uid="{00000000-0005-0000-0000-00005C040000}"/>
    <cellStyle name="40% - Accent1 13" xfId="1119" xr:uid="{00000000-0005-0000-0000-00005D040000}"/>
    <cellStyle name="40% - Accent1 13 2" xfId="1120" xr:uid="{00000000-0005-0000-0000-00005E040000}"/>
    <cellStyle name="40% - Accent1 14" xfId="1121" xr:uid="{00000000-0005-0000-0000-00005F040000}"/>
    <cellStyle name="40% - Accent1 14 2" xfId="1122" xr:uid="{00000000-0005-0000-0000-000060040000}"/>
    <cellStyle name="40% - Accent1 15" xfId="1123" xr:uid="{00000000-0005-0000-0000-000061040000}"/>
    <cellStyle name="40% - Accent1 16" xfId="1124" xr:uid="{00000000-0005-0000-0000-000062040000}"/>
    <cellStyle name="40% - Accent1 2" xfId="1125" xr:uid="{00000000-0005-0000-0000-000063040000}"/>
    <cellStyle name="40% - Accent1 2 2" xfId="1126" xr:uid="{00000000-0005-0000-0000-000064040000}"/>
    <cellStyle name="40% - Accent1 2 2 2" xfId="1127" xr:uid="{00000000-0005-0000-0000-000065040000}"/>
    <cellStyle name="40% - Accent1 2 2 2 2" xfId="1128" xr:uid="{00000000-0005-0000-0000-000066040000}"/>
    <cellStyle name="40% - Accent1 2 2 2 2 2" xfId="1129" xr:uid="{00000000-0005-0000-0000-000067040000}"/>
    <cellStyle name="40% - Accent1 2 2 2 2 2 2" xfId="1130" xr:uid="{00000000-0005-0000-0000-000068040000}"/>
    <cellStyle name="40% - Accent1 2 2 2 2 3" xfId="1131" xr:uid="{00000000-0005-0000-0000-000069040000}"/>
    <cellStyle name="40% - Accent1 2 2 2 2 4" xfId="1132" xr:uid="{00000000-0005-0000-0000-00006A040000}"/>
    <cellStyle name="40% - Accent1 2 2 2 3" xfId="1133" xr:uid="{00000000-0005-0000-0000-00006B040000}"/>
    <cellStyle name="40% - Accent1 2 2 2 3 2" xfId="1134" xr:uid="{00000000-0005-0000-0000-00006C040000}"/>
    <cellStyle name="40% - Accent1 2 2 2 4" xfId="1135" xr:uid="{00000000-0005-0000-0000-00006D040000}"/>
    <cellStyle name="40% - Accent1 2 2 2 5" xfId="1136" xr:uid="{00000000-0005-0000-0000-00006E040000}"/>
    <cellStyle name="40% - Accent1 2 2 3" xfId="1137" xr:uid="{00000000-0005-0000-0000-00006F040000}"/>
    <cellStyle name="40% - Accent1 2 2 3 2" xfId="1138" xr:uid="{00000000-0005-0000-0000-000070040000}"/>
    <cellStyle name="40% - Accent1 2 2 3 2 2" xfId="1139" xr:uid="{00000000-0005-0000-0000-000071040000}"/>
    <cellStyle name="40% - Accent1 2 2 3 3" xfId="1140" xr:uid="{00000000-0005-0000-0000-000072040000}"/>
    <cellStyle name="40% - Accent1 2 2 3 4" xfId="1141" xr:uid="{00000000-0005-0000-0000-000073040000}"/>
    <cellStyle name="40% - Accent1 2 2 4" xfId="1142" xr:uid="{00000000-0005-0000-0000-000074040000}"/>
    <cellStyle name="40% - Accent1 2 2 4 2" xfId="1143" xr:uid="{00000000-0005-0000-0000-000075040000}"/>
    <cellStyle name="40% - Accent1 2 2 5" xfId="1144" xr:uid="{00000000-0005-0000-0000-000076040000}"/>
    <cellStyle name="40% - Accent1 2 2 5 2" xfId="1145" xr:uid="{00000000-0005-0000-0000-000077040000}"/>
    <cellStyle name="40% - Accent1 2 2 6" xfId="1146" xr:uid="{00000000-0005-0000-0000-000078040000}"/>
    <cellStyle name="40% - Accent1 2 2 7" xfId="1147" xr:uid="{00000000-0005-0000-0000-000079040000}"/>
    <cellStyle name="40% - Accent1 2 3" xfId="1148" xr:uid="{00000000-0005-0000-0000-00007A040000}"/>
    <cellStyle name="40% - Accent1 2 3 2" xfId="1149" xr:uid="{00000000-0005-0000-0000-00007B040000}"/>
    <cellStyle name="40% - Accent1 2 3 2 2" xfId="1150" xr:uid="{00000000-0005-0000-0000-00007C040000}"/>
    <cellStyle name="40% - Accent1 2 3 2 2 2" xfId="1151" xr:uid="{00000000-0005-0000-0000-00007D040000}"/>
    <cellStyle name="40% - Accent1 2 3 2 3" xfId="1152" xr:uid="{00000000-0005-0000-0000-00007E040000}"/>
    <cellStyle name="40% - Accent1 2 3 2 4" xfId="1153" xr:uid="{00000000-0005-0000-0000-00007F040000}"/>
    <cellStyle name="40% - Accent1 2 3 3" xfId="1154" xr:uid="{00000000-0005-0000-0000-000080040000}"/>
    <cellStyle name="40% - Accent1 2 3 3 2" xfId="1155" xr:uid="{00000000-0005-0000-0000-000081040000}"/>
    <cellStyle name="40% - Accent1 2 3 4" xfId="1156" xr:uid="{00000000-0005-0000-0000-000082040000}"/>
    <cellStyle name="40% - Accent1 2 3 5" xfId="1157" xr:uid="{00000000-0005-0000-0000-000083040000}"/>
    <cellStyle name="40% - Accent1 2 4" xfId="1158" xr:uid="{00000000-0005-0000-0000-000084040000}"/>
    <cellStyle name="40% - Accent1 2 4 2" xfId="1159" xr:uid="{00000000-0005-0000-0000-000085040000}"/>
    <cellStyle name="40% - Accent1 2 4 2 2" xfId="1160" xr:uid="{00000000-0005-0000-0000-000086040000}"/>
    <cellStyle name="40% - Accent1 2 4 3" xfId="1161" xr:uid="{00000000-0005-0000-0000-000087040000}"/>
    <cellStyle name="40% - Accent1 2 4 4" xfId="1162" xr:uid="{00000000-0005-0000-0000-000088040000}"/>
    <cellStyle name="40% - Accent1 2 5" xfId="1163" xr:uid="{00000000-0005-0000-0000-000089040000}"/>
    <cellStyle name="40% - Accent1 2 5 2" xfId="1164" xr:uid="{00000000-0005-0000-0000-00008A040000}"/>
    <cellStyle name="40% - Accent1 2 6" xfId="1165" xr:uid="{00000000-0005-0000-0000-00008B040000}"/>
    <cellStyle name="40% - Accent1 2 6 2" xfId="1166" xr:uid="{00000000-0005-0000-0000-00008C040000}"/>
    <cellStyle name="40% - Accent1 2 7" xfId="1167" xr:uid="{00000000-0005-0000-0000-00008D040000}"/>
    <cellStyle name="40% - Accent1 2 8" xfId="1168" xr:uid="{00000000-0005-0000-0000-00008E040000}"/>
    <cellStyle name="40% - Accent1 3" xfId="1169" xr:uid="{00000000-0005-0000-0000-00008F040000}"/>
    <cellStyle name="40% - Accent1 3 2" xfId="1170" xr:uid="{00000000-0005-0000-0000-000090040000}"/>
    <cellStyle name="40% - Accent1 4" xfId="1171" xr:uid="{00000000-0005-0000-0000-000091040000}"/>
    <cellStyle name="40% - Accent1 4 2" xfId="1172" xr:uid="{00000000-0005-0000-0000-000092040000}"/>
    <cellStyle name="40% - Accent1 4 2 2" xfId="1173" xr:uid="{00000000-0005-0000-0000-000093040000}"/>
    <cellStyle name="40% - Accent1 4 2 2 2" xfId="1174" xr:uid="{00000000-0005-0000-0000-000094040000}"/>
    <cellStyle name="40% - Accent1 4 2 2 2 2" xfId="1175" xr:uid="{00000000-0005-0000-0000-000095040000}"/>
    <cellStyle name="40% - Accent1 4 2 2 3" xfId="1176" xr:uid="{00000000-0005-0000-0000-000096040000}"/>
    <cellStyle name="40% - Accent1 4 2 2 4" xfId="1177" xr:uid="{00000000-0005-0000-0000-000097040000}"/>
    <cellStyle name="40% - Accent1 4 2 3" xfId="1178" xr:uid="{00000000-0005-0000-0000-000098040000}"/>
    <cellStyle name="40% - Accent1 4 2 3 2" xfId="1179" xr:uid="{00000000-0005-0000-0000-000099040000}"/>
    <cellStyle name="40% - Accent1 4 2 4" xfId="1180" xr:uid="{00000000-0005-0000-0000-00009A040000}"/>
    <cellStyle name="40% - Accent1 4 2 5" xfId="1181" xr:uid="{00000000-0005-0000-0000-00009B040000}"/>
    <cellStyle name="40% - Accent1 4 3" xfId="1182" xr:uid="{00000000-0005-0000-0000-00009C040000}"/>
    <cellStyle name="40% - Accent1 4 3 2" xfId="1183" xr:uid="{00000000-0005-0000-0000-00009D040000}"/>
    <cellStyle name="40% - Accent1 4 3 2 2" xfId="1184" xr:uid="{00000000-0005-0000-0000-00009E040000}"/>
    <cellStyle name="40% - Accent1 4 3 3" xfId="1185" xr:uid="{00000000-0005-0000-0000-00009F040000}"/>
    <cellStyle name="40% - Accent1 4 3 4" xfId="1186" xr:uid="{00000000-0005-0000-0000-0000A0040000}"/>
    <cellStyle name="40% - Accent1 4 4" xfId="1187" xr:uid="{00000000-0005-0000-0000-0000A1040000}"/>
    <cellStyle name="40% - Accent1 4 4 2" xfId="1188" xr:uid="{00000000-0005-0000-0000-0000A2040000}"/>
    <cellStyle name="40% - Accent1 4 5" xfId="1189" xr:uid="{00000000-0005-0000-0000-0000A3040000}"/>
    <cellStyle name="40% - Accent1 4 5 2" xfId="1190" xr:uid="{00000000-0005-0000-0000-0000A4040000}"/>
    <cellStyle name="40% - Accent1 4 6" xfId="1191" xr:uid="{00000000-0005-0000-0000-0000A5040000}"/>
    <cellStyle name="40% - Accent1 4 7" xfId="1192" xr:uid="{00000000-0005-0000-0000-0000A6040000}"/>
    <cellStyle name="40% - Accent1 5" xfId="1193" xr:uid="{00000000-0005-0000-0000-0000A7040000}"/>
    <cellStyle name="40% - Accent1 5 2" xfId="1194" xr:uid="{00000000-0005-0000-0000-0000A8040000}"/>
    <cellStyle name="40% - Accent1 5 2 2" xfId="1195" xr:uid="{00000000-0005-0000-0000-0000A9040000}"/>
    <cellStyle name="40% - Accent1 5 2 2 2" xfId="1196" xr:uid="{00000000-0005-0000-0000-0000AA040000}"/>
    <cellStyle name="40% - Accent1 5 2 2 2 2" xfId="1197" xr:uid="{00000000-0005-0000-0000-0000AB040000}"/>
    <cellStyle name="40% - Accent1 5 2 2 3" xfId="1198" xr:uid="{00000000-0005-0000-0000-0000AC040000}"/>
    <cellStyle name="40% - Accent1 5 2 2 4" xfId="1199" xr:uid="{00000000-0005-0000-0000-0000AD040000}"/>
    <cellStyle name="40% - Accent1 5 2 3" xfId="1200" xr:uid="{00000000-0005-0000-0000-0000AE040000}"/>
    <cellStyle name="40% - Accent1 5 2 3 2" xfId="1201" xr:uid="{00000000-0005-0000-0000-0000AF040000}"/>
    <cellStyle name="40% - Accent1 5 2 4" xfId="1202" xr:uid="{00000000-0005-0000-0000-0000B0040000}"/>
    <cellStyle name="40% - Accent1 5 2 5" xfId="1203" xr:uid="{00000000-0005-0000-0000-0000B1040000}"/>
    <cellStyle name="40% - Accent1 5 3" xfId="1204" xr:uid="{00000000-0005-0000-0000-0000B2040000}"/>
    <cellStyle name="40% - Accent1 5 3 2" xfId="1205" xr:uid="{00000000-0005-0000-0000-0000B3040000}"/>
    <cellStyle name="40% - Accent1 5 3 2 2" xfId="1206" xr:uid="{00000000-0005-0000-0000-0000B4040000}"/>
    <cellStyle name="40% - Accent1 5 3 3" xfId="1207" xr:uid="{00000000-0005-0000-0000-0000B5040000}"/>
    <cellStyle name="40% - Accent1 5 3 4" xfId="1208" xr:uid="{00000000-0005-0000-0000-0000B6040000}"/>
    <cellStyle name="40% - Accent1 5 4" xfId="1209" xr:uid="{00000000-0005-0000-0000-0000B7040000}"/>
    <cellStyle name="40% - Accent1 5 4 2" xfId="1210" xr:uid="{00000000-0005-0000-0000-0000B8040000}"/>
    <cellStyle name="40% - Accent1 5 5" xfId="1211" xr:uid="{00000000-0005-0000-0000-0000B9040000}"/>
    <cellStyle name="40% - Accent1 5 5 2" xfId="1212" xr:uid="{00000000-0005-0000-0000-0000BA040000}"/>
    <cellStyle name="40% - Accent1 5 6" xfId="1213" xr:uid="{00000000-0005-0000-0000-0000BB040000}"/>
    <cellStyle name="40% - Accent1 5 7" xfId="1214" xr:uid="{00000000-0005-0000-0000-0000BC040000}"/>
    <cellStyle name="40% - Accent1 6" xfId="1215" xr:uid="{00000000-0005-0000-0000-0000BD040000}"/>
    <cellStyle name="40% - Accent1 7" xfId="1216" xr:uid="{00000000-0005-0000-0000-0000BE040000}"/>
    <cellStyle name="40% - Accent1 7 2" xfId="1217" xr:uid="{00000000-0005-0000-0000-0000BF040000}"/>
    <cellStyle name="40% - Accent1 7 2 2" xfId="1218" xr:uid="{00000000-0005-0000-0000-0000C0040000}"/>
    <cellStyle name="40% - Accent1 7 2 2 2" xfId="1219" xr:uid="{00000000-0005-0000-0000-0000C1040000}"/>
    <cellStyle name="40% - Accent1 7 2 2 2 2" xfId="1220" xr:uid="{00000000-0005-0000-0000-0000C2040000}"/>
    <cellStyle name="40% - Accent1 7 2 2 3" xfId="1221" xr:uid="{00000000-0005-0000-0000-0000C3040000}"/>
    <cellStyle name="40% - Accent1 7 2 2 4" xfId="1222" xr:uid="{00000000-0005-0000-0000-0000C4040000}"/>
    <cellStyle name="40% - Accent1 7 2 3" xfId="1223" xr:uid="{00000000-0005-0000-0000-0000C5040000}"/>
    <cellStyle name="40% - Accent1 7 2 3 2" xfId="1224" xr:uid="{00000000-0005-0000-0000-0000C6040000}"/>
    <cellStyle name="40% - Accent1 7 2 4" xfId="1225" xr:uid="{00000000-0005-0000-0000-0000C7040000}"/>
    <cellStyle name="40% - Accent1 7 2 5" xfId="1226" xr:uid="{00000000-0005-0000-0000-0000C8040000}"/>
    <cellStyle name="40% - Accent1 7 3" xfId="1227" xr:uid="{00000000-0005-0000-0000-0000C9040000}"/>
    <cellStyle name="40% - Accent1 7 3 2" xfId="1228" xr:uid="{00000000-0005-0000-0000-0000CA040000}"/>
    <cellStyle name="40% - Accent1 7 3 2 2" xfId="1229" xr:uid="{00000000-0005-0000-0000-0000CB040000}"/>
    <cellStyle name="40% - Accent1 7 3 3" xfId="1230" xr:uid="{00000000-0005-0000-0000-0000CC040000}"/>
    <cellStyle name="40% - Accent1 7 3 4" xfId="1231" xr:uid="{00000000-0005-0000-0000-0000CD040000}"/>
    <cellStyle name="40% - Accent1 7 4" xfId="1232" xr:uid="{00000000-0005-0000-0000-0000CE040000}"/>
    <cellStyle name="40% - Accent1 7 4 2" xfId="1233" xr:uid="{00000000-0005-0000-0000-0000CF040000}"/>
    <cellStyle name="40% - Accent1 7 5" xfId="1234" xr:uid="{00000000-0005-0000-0000-0000D0040000}"/>
    <cellStyle name="40% - Accent1 7 6" xfId="1235" xr:uid="{00000000-0005-0000-0000-0000D1040000}"/>
    <cellStyle name="40% - Accent1 8" xfId="1236" xr:uid="{00000000-0005-0000-0000-0000D2040000}"/>
    <cellStyle name="40% - Accent1 8 2" xfId="1237" xr:uid="{00000000-0005-0000-0000-0000D3040000}"/>
    <cellStyle name="40% - Accent1 8 2 2" xfId="1238" xr:uid="{00000000-0005-0000-0000-0000D4040000}"/>
    <cellStyle name="40% - Accent1 8 2 2 2" xfId="1239" xr:uid="{00000000-0005-0000-0000-0000D5040000}"/>
    <cellStyle name="40% - Accent1 8 2 2 2 2" xfId="1240" xr:uid="{00000000-0005-0000-0000-0000D6040000}"/>
    <cellStyle name="40% - Accent1 8 2 2 3" xfId="1241" xr:uid="{00000000-0005-0000-0000-0000D7040000}"/>
    <cellStyle name="40% - Accent1 8 2 2 4" xfId="1242" xr:uid="{00000000-0005-0000-0000-0000D8040000}"/>
    <cellStyle name="40% - Accent1 8 2 3" xfId="1243" xr:uid="{00000000-0005-0000-0000-0000D9040000}"/>
    <cellStyle name="40% - Accent1 8 2 3 2" xfId="1244" xr:uid="{00000000-0005-0000-0000-0000DA040000}"/>
    <cellStyle name="40% - Accent1 8 2 4" xfId="1245" xr:uid="{00000000-0005-0000-0000-0000DB040000}"/>
    <cellStyle name="40% - Accent1 8 2 5" xfId="1246" xr:uid="{00000000-0005-0000-0000-0000DC040000}"/>
    <cellStyle name="40% - Accent1 8 3" xfId="1247" xr:uid="{00000000-0005-0000-0000-0000DD040000}"/>
    <cellStyle name="40% - Accent1 8 3 2" xfId="1248" xr:uid="{00000000-0005-0000-0000-0000DE040000}"/>
    <cellStyle name="40% - Accent1 8 3 2 2" xfId="1249" xr:uid="{00000000-0005-0000-0000-0000DF040000}"/>
    <cellStyle name="40% - Accent1 8 3 3" xfId="1250" xr:uid="{00000000-0005-0000-0000-0000E0040000}"/>
    <cellStyle name="40% - Accent1 8 3 4" xfId="1251" xr:uid="{00000000-0005-0000-0000-0000E1040000}"/>
    <cellStyle name="40% - Accent1 8 4" xfId="1252" xr:uid="{00000000-0005-0000-0000-0000E2040000}"/>
    <cellStyle name="40% - Accent1 8 4 2" xfId="1253" xr:uid="{00000000-0005-0000-0000-0000E3040000}"/>
    <cellStyle name="40% - Accent1 8 5" xfId="1254" xr:uid="{00000000-0005-0000-0000-0000E4040000}"/>
    <cellStyle name="40% - Accent1 8 6" xfId="1255" xr:uid="{00000000-0005-0000-0000-0000E5040000}"/>
    <cellStyle name="40% - Accent1 9" xfId="1256" xr:uid="{00000000-0005-0000-0000-0000E6040000}"/>
    <cellStyle name="40% - Accent1 9 2" xfId="1257" xr:uid="{00000000-0005-0000-0000-0000E7040000}"/>
    <cellStyle name="40% - Accent1 9 2 2" xfId="1258" xr:uid="{00000000-0005-0000-0000-0000E8040000}"/>
    <cellStyle name="40% - Accent1 9 2 2 2" xfId="1259" xr:uid="{00000000-0005-0000-0000-0000E9040000}"/>
    <cellStyle name="40% - Accent1 9 2 2 2 2" xfId="1260" xr:uid="{00000000-0005-0000-0000-0000EA040000}"/>
    <cellStyle name="40% - Accent1 9 2 2 3" xfId="1261" xr:uid="{00000000-0005-0000-0000-0000EB040000}"/>
    <cellStyle name="40% - Accent1 9 2 2 4" xfId="1262" xr:uid="{00000000-0005-0000-0000-0000EC040000}"/>
    <cellStyle name="40% - Accent1 9 2 3" xfId="1263" xr:uid="{00000000-0005-0000-0000-0000ED040000}"/>
    <cellStyle name="40% - Accent1 9 2 3 2" xfId="1264" xr:uid="{00000000-0005-0000-0000-0000EE040000}"/>
    <cellStyle name="40% - Accent1 9 2 4" xfId="1265" xr:uid="{00000000-0005-0000-0000-0000EF040000}"/>
    <cellStyle name="40% - Accent1 9 2 5" xfId="1266" xr:uid="{00000000-0005-0000-0000-0000F0040000}"/>
    <cellStyle name="40% - Accent1 9 3" xfId="1267" xr:uid="{00000000-0005-0000-0000-0000F1040000}"/>
    <cellStyle name="40% - Accent1 9 3 2" xfId="1268" xr:uid="{00000000-0005-0000-0000-0000F2040000}"/>
    <cellStyle name="40% - Accent1 9 3 2 2" xfId="1269" xr:uid="{00000000-0005-0000-0000-0000F3040000}"/>
    <cellStyle name="40% - Accent1 9 3 3" xfId="1270" xr:uid="{00000000-0005-0000-0000-0000F4040000}"/>
    <cellStyle name="40% - Accent1 9 3 4" xfId="1271" xr:uid="{00000000-0005-0000-0000-0000F5040000}"/>
    <cellStyle name="40% - Accent1 9 4" xfId="1272" xr:uid="{00000000-0005-0000-0000-0000F6040000}"/>
    <cellStyle name="40% - Accent1 9 4 2" xfId="1273" xr:uid="{00000000-0005-0000-0000-0000F7040000}"/>
    <cellStyle name="40% - Accent1 9 5" xfId="1274" xr:uid="{00000000-0005-0000-0000-0000F8040000}"/>
    <cellStyle name="40% - Accent1 9 6" xfId="1275" xr:uid="{00000000-0005-0000-0000-0000F9040000}"/>
    <cellStyle name="40% - Accent2 10" xfId="1276" xr:uid="{00000000-0005-0000-0000-0000FA040000}"/>
    <cellStyle name="40% - Accent2 10 2" xfId="1277" xr:uid="{00000000-0005-0000-0000-0000FB040000}"/>
    <cellStyle name="40% - Accent2 10 2 2" xfId="1278" xr:uid="{00000000-0005-0000-0000-0000FC040000}"/>
    <cellStyle name="40% - Accent2 10 2 2 2" xfId="1279" xr:uid="{00000000-0005-0000-0000-0000FD040000}"/>
    <cellStyle name="40% - Accent2 10 2 3" xfId="1280" xr:uid="{00000000-0005-0000-0000-0000FE040000}"/>
    <cellStyle name="40% - Accent2 10 2 4" xfId="1281" xr:uid="{00000000-0005-0000-0000-0000FF040000}"/>
    <cellStyle name="40% - Accent2 10 3" xfId="1282" xr:uid="{00000000-0005-0000-0000-000000050000}"/>
    <cellStyle name="40% - Accent2 10 3 2" xfId="1283" xr:uid="{00000000-0005-0000-0000-000001050000}"/>
    <cellStyle name="40% - Accent2 10 4" xfId="1284" xr:uid="{00000000-0005-0000-0000-000002050000}"/>
    <cellStyle name="40% - Accent2 10 5" xfId="1285" xr:uid="{00000000-0005-0000-0000-000003050000}"/>
    <cellStyle name="40% - Accent2 11" xfId="1286" xr:uid="{00000000-0005-0000-0000-000004050000}"/>
    <cellStyle name="40% - Accent2 11 2" xfId="1287" xr:uid="{00000000-0005-0000-0000-000005050000}"/>
    <cellStyle name="40% - Accent2 11 2 2" xfId="1288" xr:uid="{00000000-0005-0000-0000-000006050000}"/>
    <cellStyle name="40% - Accent2 11 2 2 2" xfId="1289" xr:uid="{00000000-0005-0000-0000-000007050000}"/>
    <cellStyle name="40% - Accent2 11 2 3" xfId="1290" xr:uid="{00000000-0005-0000-0000-000008050000}"/>
    <cellStyle name="40% - Accent2 11 2 4" xfId="1291" xr:uid="{00000000-0005-0000-0000-000009050000}"/>
    <cellStyle name="40% - Accent2 11 3" xfId="1292" xr:uid="{00000000-0005-0000-0000-00000A050000}"/>
    <cellStyle name="40% - Accent2 11 3 2" xfId="1293" xr:uid="{00000000-0005-0000-0000-00000B050000}"/>
    <cellStyle name="40% - Accent2 11 4" xfId="1294" xr:uid="{00000000-0005-0000-0000-00000C050000}"/>
    <cellStyle name="40% - Accent2 11 5" xfId="1295" xr:uid="{00000000-0005-0000-0000-00000D050000}"/>
    <cellStyle name="40% - Accent2 12" xfId="1296" xr:uid="{00000000-0005-0000-0000-00000E050000}"/>
    <cellStyle name="40% - Accent2 12 2" xfId="1297" xr:uid="{00000000-0005-0000-0000-00000F050000}"/>
    <cellStyle name="40% - Accent2 12 2 2" xfId="1298" xr:uid="{00000000-0005-0000-0000-000010050000}"/>
    <cellStyle name="40% - Accent2 12 3" xfId="1299" xr:uid="{00000000-0005-0000-0000-000011050000}"/>
    <cellStyle name="40% - Accent2 12 4" xfId="1300" xr:uid="{00000000-0005-0000-0000-000012050000}"/>
    <cellStyle name="40% - Accent2 13" xfId="1301" xr:uid="{00000000-0005-0000-0000-000013050000}"/>
    <cellStyle name="40% - Accent2 13 2" xfId="1302" xr:uid="{00000000-0005-0000-0000-000014050000}"/>
    <cellStyle name="40% - Accent2 14" xfId="1303" xr:uid="{00000000-0005-0000-0000-000015050000}"/>
    <cellStyle name="40% - Accent2 14 2" xfId="1304" xr:uid="{00000000-0005-0000-0000-000016050000}"/>
    <cellStyle name="40% - Accent2 15" xfId="1305" xr:uid="{00000000-0005-0000-0000-000017050000}"/>
    <cellStyle name="40% - Accent2 16" xfId="1306" xr:uid="{00000000-0005-0000-0000-000018050000}"/>
    <cellStyle name="40% - Accent2 2" xfId="1307" xr:uid="{00000000-0005-0000-0000-000019050000}"/>
    <cellStyle name="40% - Accent2 2 2" xfId="1308" xr:uid="{00000000-0005-0000-0000-00001A050000}"/>
    <cellStyle name="40% - Accent2 2 2 2" xfId="1309" xr:uid="{00000000-0005-0000-0000-00001B050000}"/>
    <cellStyle name="40% - Accent2 2 2 2 2" xfId="1310" xr:uid="{00000000-0005-0000-0000-00001C050000}"/>
    <cellStyle name="40% - Accent2 2 2 2 2 2" xfId="1311" xr:uid="{00000000-0005-0000-0000-00001D050000}"/>
    <cellStyle name="40% - Accent2 2 2 2 2 2 2" xfId="1312" xr:uid="{00000000-0005-0000-0000-00001E050000}"/>
    <cellStyle name="40% - Accent2 2 2 2 2 3" xfId="1313" xr:uid="{00000000-0005-0000-0000-00001F050000}"/>
    <cellStyle name="40% - Accent2 2 2 2 2 4" xfId="1314" xr:uid="{00000000-0005-0000-0000-000020050000}"/>
    <cellStyle name="40% - Accent2 2 2 2 3" xfId="1315" xr:uid="{00000000-0005-0000-0000-000021050000}"/>
    <cellStyle name="40% - Accent2 2 2 2 3 2" xfId="1316" xr:uid="{00000000-0005-0000-0000-000022050000}"/>
    <cellStyle name="40% - Accent2 2 2 2 4" xfId="1317" xr:uid="{00000000-0005-0000-0000-000023050000}"/>
    <cellStyle name="40% - Accent2 2 2 2 5" xfId="1318" xr:uid="{00000000-0005-0000-0000-000024050000}"/>
    <cellStyle name="40% - Accent2 2 2 3" xfId="1319" xr:uid="{00000000-0005-0000-0000-000025050000}"/>
    <cellStyle name="40% - Accent2 2 2 3 2" xfId="1320" xr:uid="{00000000-0005-0000-0000-000026050000}"/>
    <cellStyle name="40% - Accent2 2 2 3 2 2" xfId="1321" xr:uid="{00000000-0005-0000-0000-000027050000}"/>
    <cellStyle name="40% - Accent2 2 2 3 3" xfId="1322" xr:uid="{00000000-0005-0000-0000-000028050000}"/>
    <cellStyle name="40% - Accent2 2 2 3 4" xfId="1323" xr:uid="{00000000-0005-0000-0000-000029050000}"/>
    <cellStyle name="40% - Accent2 2 2 4" xfId="1324" xr:uid="{00000000-0005-0000-0000-00002A050000}"/>
    <cellStyle name="40% - Accent2 2 2 4 2" xfId="1325" xr:uid="{00000000-0005-0000-0000-00002B050000}"/>
    <cellStyle name="40% - Accent2 2 2 5" xfId="1326" xr:uid="{00000000-0005-0000-0000-00002C050000}"/>
    <cellStyle name="40% - Accent2 2 2 5 2" xfId="1327" xr:uid="{00000000-0005-0000-0000-00002D050000}"/>
    <cellStyle name="40% - Accent2 2 2 6" xfId="1328" xr:uid="{00000000-0005-0000-0000-00002E050000}"/>
    <cellStyle name="40% - Accent2 2 2 7" xfId="1329" xr:uid="{00000000-0005-0000-0000-00002F050000}"/>
    <cellStyle name="40% - Accent2 2 3" xfId="1330" xr:uid="{00000000-0005-0000-0000-000030050000}"/>
    <cellStyle name="40% - Accent2 2 3 2" xfId="1331" xr:uid="{00000000-0005-0000-0000-000031050000}"/>
    <cellStyle name="40% - Accent2 2 3 2 2" xfId="1332" xr:uid="{00000000-0005-0000-0000-000032050000}"/>
    <cellStyle name="40% - Accent2 2 3 2 2 2" xfId="1333" xr:uid="{00000000-0005-0000-0000-000033050000}"/>
    <cellStyle name="40% - Accent2 2 3 2 3" xfId="1334" xr:uid="{00000000-0005-0000-0000-000034050000}"/>
    <cellStyle name="40% - Accent2 2 3 2 4" xfId="1335" xr:uid="{00000000-0005-0000-0000-000035050000}"/>
    <cellStyle name="40% - Accent2 2 3 3" xfId="1336" xr:uid="{00000000-0005-0000-0000-000036050000}"/>
    <cellStyle name="40% - Accent2 2 3 3 2" xfId="1337" xr:uid="{00000000-0005-0000-0000-000037050000}"/>
    <cellStyle name="40% - Accent2 2 3 4" xfId="1338" xr:uid="{00000000-0005-0000-0000-000038050000}"/>
    <cellStyle name="40% - Accent2 2 3 5" xfId="1339" xr:uid="{00000000-0005-0000-0000-000039050000}"/>
    <cellStyle name="40% - Accent2 2 4" xfId="1340" xr:uid="{00000000-0005-0000-0000-00003A050000}"/>
    <cellStyle name="40% - Accent2 2 4 2" xfId="1341" xr:uid="{00000000-0005-0000-0000-00003B050000}"/>
    <cellStyle name="40% - Accent2 2 4 2 2" xfId="1342" xr:uid="{00000000-0005-0000-0000-00003C050000}"/>
    <cellStyle name="40% - Accent2 2 4 3" xfId="1343" xr:uid="{00000000-0005-0000-0000-00003D050000}"/>
    <cellStyle name="40% - Accent2 2 4 4" xfId="1344" xr:uid="{00000000-0005-0000-0000-00003E050000}"/>
    <cellStyle name="40% - Accent2 2 5" xfId="1345" xr:uid="{00000000-0005-0000-0000-00003F050000}"/>
    <cellStyle name="40% - Accent2 2 5 2" xfId="1346" xr:uid="{00000000-0005-0000-0000-000040050000}"/>
    <cellStyle name="40% - Accent2 2 6" xfId="1347" xr:uid="{00000000-0005-0000-0000-000041050000}"/>
    <cellStyle name="40% - Accent2 2 6 2" xfId="1348" xr:uid="{00000000-0005-0000-0000-000042050000}"/>
    <cellStyle name="40% - Accent2 2 7" xfId="1349" xr:uid="{00000000-0005-0000-0000-000043050000}"/>
    <cellStyle name="40% - Accent2 2 8" xfId="1350" xr:uid="{00000000-0005-0000-0000-000044050000}"/>
    <cellStyle name="40% - Accent2 3" xfId="1351" xr:uid="{00000000-0005-0000-0000-000045050000}"/>
    <cellStyle name="40% - Accent2 3 2" xfId="1352" xr:uid="{00000000-0005-0000-0000-000046050000}"/>
    <cellStyle name="40% - Accent2 4" xfId="1353" xr:uid="{00000000-0005-0000-0000-000047050000}"/>
    <cellStyle name="40% - Accent2 4 2" xfId="1354" xr:uid="{00000000-0005-0000-0000-000048050000}"/>
    <cellStyle name="40% - Accent2 4 2 2" xfId="1355" xr:uid="{00000000-0005-0000-0000-000049050000}"/>
    <cellStyle name="40% - Accent2 4 2 2 2" xfId="1356" xr:uid="{00000000-0005-0000-0000-00004A050000}"/>
    <cellStyle name="40% - Accent2 4 2 2 2 2" xfId="1357" xr:uid="{00000000-0005-0000-0000-00004B050000}"/>
    <cellStyle name="40% - Accent2 4 2 2 3" xfId="1358" xr:uid="{00000000-0005-0000-0000-00004C050000}"/>
    <cellStyle name="40% - Accent2 4 2 2 4" xfId="1359" xr:uid="{00000000-0005-0000-0000-00004D050000}"/>
    <cellStyle name="40% - Accent2 4 2 3" xfId="1360" xr:uid="{00000000-0005-0000-0000-00004E050000}"/>
    <cellStyle name="40% - Accent2 4 2 3 2" xfId="1361" xr:uid="{00000000-0005-0000-0000-00004F050000}"/>
    <cellStyle name="40% - Accent2 4 2 4" xfId="1362" xr:uid="{00000000-0005-0000-0000-000050050000}"/>
    <cellStyle name="40% - Accent2 4 2 5" xfId="1363" xr:uid="{00000000-0005-0000-0000-000051050000}"/>
    <cellStyle name="40% - Accent2 4 3" xfId="1364" xr:uid="{00000000-0005-0000-0000-000052050000}"/>
    <cellStyle name="40% - Accent2 4 3 2" xfId="1365" xr:uid="{00000000-0005-0000-0000-000053050000}"/>
    <cellStyle name="40% - Accent2 4 3 2 2" xfId="1366" xr:uid="{00000000-0005-0000-0000-000054050000}"/>
    <cellStyle name="40% - Accent2 4 3 3" xfId="1367" xr:uid="{00000000-0005-0000-0000-000055050000}"/>
    <cellStyle name="40% - Accent2 4 3 4" xfId="1368" xr:uid="{00000000-0005-0000-0000-000056050000}"/>
    <cellStyle name="40% - Accent2 4 4" xfId="1369" xr:uid="{00000000-0005-0000-0000-000057050000}"/>
    <cellStyle name="40% - Accent2 4 4 2" xfId="1370" xr:uid="{00000000-0005-0000-0000-000058050000}"/>
    <cellStyle name="40% - Accent2 4 5" xfId="1371" xr:uid="{00000000-0005-0000-0000-000059050000}"/>
    <cellStyle name="40% - Accent2 4 5 2" xfId="1372" xr:uid="{00000000-0005-0000-0000-00005A050000}"/>
    <cellStyle name="40% - Accent2 4 6" xfId="1373" xr:uid="{00000000-0005-0000-0000-00005B050000}"/>
    <cellStyle name="40% - Accent2 4 7" xfId="1374" xr:uid="{00000000-0005-0000-0000-00005C050000}"/>
    <cellStyle name="40% - Accent2 5" xfId="1375" xr:uid="{00000000-0005-0000-0000-00005D050000}"/>
    <cellStyle name="40% - Accent2 5 2" xfId="1376" xr:uid="{00000000-0005-0000-0000-00005E050000}"/>
    <cellStyle name="40% - Accent2 5 2 2" xfId="1377" xr:uid="{00000000-0005-0000-0000-00005F050000}"/>
    <cellStyle name="40% - Accent2 5 2 2 2" xfId="1378" xr:uid="{00000000-0005-0000-0000-000060050000}"/>
    <cellStyle name="40% - Accent2 5 2 2 2 2" xfId="1379" xr:uid="{00000000-0005-0000-0000-000061050000}"/>
    <cellStyle name="40% - Accent2 5 2 2 3" xfId="1380" xr:uid="{00000000-0005-0000-0000-000062050000}"/>
    <cellStyle name="40% - Accent2 5 2 2 4" xfId="1381" xr:uid="{00000000-0005-0000-0000-000063050000}"/>
    <cellStyle name="40% - Accent2 5 2 3" xfId="1382" xr:uid="{00000000-0005-0000-0000-000064050000}"/>
    <cellStyle name="40% - Accent2 5 2 3 2" xfId="1383" xr:uid="{00000000-0005-0000-0000-000065050000}"/>
    <cellStyle name="40% - Accent2 5 2 4" xfId="1384" xr:uid="{00000000-0005-0000-0000-000066050000}"/>
    <cellStyle name="40% - Accent2 5 2 5" xfId="1385" xr:uid="{00000000-0005-0000-0000-000067050000}"/>
    <cellStyle name="40% - Accent2 5 3" xfId="1386" xr:uid="{00000000-0005-0000-0000-000068050000}"/>
    <cellStyle name="40% - Accent2 5 3 2" xfId="1387" xr:uid="{00000000-0005-0000-0000-000069050000}"/>
    <cellStyle name="40% - Accent2 5 3 2 2" xfId="1388" xr:uid="{00000000-0005-0000-0000-00006A050000}"/>
    <cellStyle name="40% - Accent2 5 3 3" xfId="1389" xr:uid="{00000000-0005-0000-0000-00006B050000}"/>
    <cellStyle name="40% - Accent2 5 3 4" xfId="1390" xr:uid="{00000000-0005-0000-0000-00006C050000}"/>
    <cellStyle name="40% - Accent2 5 4" xfId="1391" xr:uid="{00000000-0005-0000-0000-00006D050000}"/>
    <cellStyle name="40% - Accent2 5 4 2" xfId="1392" xr:uid="{00000000-0005-0000-0000-00006E050000}"/>
    <cellStyle name="40% - Accent2 5 5" xfId="1393" xr:uid="{00000000-0005-0000-0000-00006F050000}"/>
    <cellStyle name="40% - Accent2 5 5 2" xfId="1394" xr:uid="{00000000-0005-0000-0000-000070050000}"/>
    <cellStyle name="40% - Accent2 5 6" xfId="1395" xr:uid="{00000000-0005-0000-0000-000071050000}"/>
    <cellStyle name="40% - Accent2 5 7" xfId="1396" xr:uid="{00000000-0005-0000-0000-000072050000}"/>
    <cellStyle name="40% - Accent2 6" xfId="1397" xr:uid="{00000000-0005-0000-0000-000073050000}"/>
    <cellStyle name="40% - Accent2 7" xfId="1398" xr:uid="{00000000-0005-0000-0000-000074050000}"/>
    <cellStyle name="40% - Accent2 7 2" xfId="1399" xr:uid="{00000000-0005-0000-0000-000075050000}"/>
    <cellStyle name="40% - Accent2 7 2 2" xfId="1400" xr:uid="{00000000-0005-0000-0000-000076050000}"/>
    <cellStyle name="40% - Accent2 7 2 2 2" xfId="1401" xr:uid="{00000000-0005-0000-0000-000077050000}"/>
    <cellStyle name="40% - Accent2 7 2 2 2 2" xfId="1402" xr:uid="{00000000-0005-0000-0000-000078050000}"/>
    <cellStyle name="40% - Accent2 7 2 2 3" xfId="1403" xr:uid="{00000000-0005-0000-0000-000079050000}"/>
    <cellStyle name="40% - Accent2 7 2 2 4" xfId="1404" xr:uid="{00000000-0005-0000-0000-00007A050000}"/>
    <cellStyle name="40% - Accent2 7 2 3" xfId="1405" xr:uid="{00000000-0005-0000-0000-00007B050000}"/>
    <cellStyle name="40% - Accent2 7 2 3 2" xfId="1406" xr:uid="{00000000-0005-0000-0000-00007C050000}"/>
    <cellStyle name="40% - Accent2 7 2 4" xfId="1407" xr:uid="{00000000-0005-0000-0000-00007D050000}"/>
    <cellStyle name="40% - Accent2 7 2 5" xfId="1408" xr:uid="{00000000-0005-0000-0000-00007E050000}"/>
    <cellStyle name="40% - Accent2 7 3" xfId="1409" xr:uid="{00000000-0005-0000-0000-00007F050000}"/>
    <cellStyle name="40% - Accent2 7 3 2" xfId="1410" xr:uid="{00000000-0005-0000-0000-000080050000}"/>
    <cellStyle name="40% - Accent2 7 3 2 2" xfId="1411" xr:uid="{00000000-0005-0000-0000-000081050000}"/>
    <cellStyle name="40% - Accent2 7 3 3" xfId="1412" xr:uid="{00000000-0005-0000-0000-000082050000}"/>
    <cellStyle name="40% - Accent2 7 3 4" xfId="1413" xr:uid="{00000000-0005-0000-0000-000083050000}"/>
    <cellStyle name="40% - Accent2 7 4" xfId="1414" xr:uid="{00000000-0005-0000-0000-000084050000}"/>
    <cellStyle name="40% - Accent2 7 4 2" xfId="1415" xr:uid="{00000000-0005-0000-0000-000085050000}"/>
    <cellStyle name="40% - Accent2 7 5" xfId="1416" xr:uid="{00000000-0005-0000-0000-000086050000}"/>
    <cellStyle name="40% - Accent2 7 6" xfId="1417" xr:uid="{00000000-0005-0000-0000-000087050000}"/>
    <cellStyle name="40% - Accent2 8" xfId="1418" xr:uid="{00000000-0005-0000-0000-000088050000}"/>
    <cellStyle name="40% - Accent2 8 2" xfId="1419" xr:uid="{00000000-0005-0000-0000-000089050000}"/>
    <cellStyle name="40% - Accent2 8 2 2" xfId="1420" xr:uid="{00000000-0005-0000-0000-00008A050000}"/>
    <cellStyle name="40% - Accent2 8 2 2 2" xfId="1421" xr:uid="{00000000-0005-0000-0000-00008B050000}"/>
    <cellStyle name="40% - Accent2 8 2 2 2 2" xfId="1422" xr:uid="{00000000-0005-0000-0000-00008C050000}"/>
    <cellStyle name="40% - Accent2 8 2 2 3" xfId="1423" xr:uid="{00000000-0005-0000-0000-00008D050000}"/>
    <cellStyle name="40% - Accent2 8 2 2 4" xfId="1424" xr:uid="{00000000-0005-0000-0000-00008E050000}"/>
    <cellStyle name="40% - Accent2 8 2 3" xfId="1425" xr:uid="{00000000-0005-0000-0000-00008F050000}"/>
    <cellStyle name="40% - Accent2 8 2 3 2" xfId="1426" xr:uid="{00000000-0005-0000-0000-000090050000}"/>
    <cellStyle name="40% - Accent2 8 2 4" xfId="1427" xr:uid="{00000000-0005-0000-0000-000091050000}"/>
    <cellStyle name="40% - Accent2 8 2 5" xfId="1428" xr:uid="{00000000-0005-0000-0000-000092050000}"/>
    <cellStyle name="40% - Accent2 8 3" xfId="1429" xr:uid="{00000000-0005-0000-0000-000093050000}"/>
    <cellStyle name="40% - Accent2 8 3 2" xfId="1430" xr:uid="{00000000-0005-0000-0000-000094050000}"/>
    <cellStyle name="40% - Accent2 8 3 2 2" xfId="1431" xr:uid="{00000000-0005-0000-0000-000095050000}"/>
    <cellStyle name="40% - Accent2 8 3 3" xfId="1432" xr:uid="{00000000-0005-0000-0000-000096050000}"/>
    <cellStyle name="40% - Accent2 8 3 4" xfId="1433" xr:uid="{00000000-0005-0000-0000-000097050000}"/>
    <cellStyle name="40% - Accent2 8 4" xfId="1434" xr:uid="{00000000-0005-0000-0000-000098050000}"/>
    <cellStyle name="40% - Accent2 8 4 2" xfId="1435" xr:uid="{00000000-0005-0000-0000-000099050000}"/>
    <cellStyle name="40% - Accent2 8 5" xfId="1436" xr:uid="{00000000-0005-0000-0000-00009A050000}"/>
    <cellStyle name="40% - Accent2 8 6" xfId="1437" xr:uid="{00000000-0005-0000-0000-00009B050000}"/>
    <cellStyle name="40% - Accent2 9" xfId="1438" xr:uid="{00000000-0005-0000-0000-00009C050000}"/>
    <cellStyle name="40% - Accent2 9 2" xfId="1439" xr:uid="{00000000-0005-0000-0000-00009D050000}"/>
    <cellStyle name="40% - Accent2 9 2 2" xfId="1440" xr:uid="{00000000-0005-0000-0000-00009E050000}"/>
    <cellStyle name="40% - Accent2 9 2 2 2" xfId="1441" xr:uid="{00000000-0005-0000-0000-00009F050000}"/>
    <cellStyle name="40% - Accent2 9 2 2 2 2" xfId="1442" xr:uid="{00000000-0005-0000-0000-0000A0050000}"/>
    <cellStyle name="40% - Accent2 9 2 2 3" xfId="1443" xr:uid="{00000000-0005-0000-0000-0000A1050000}"/>
    <cellStyle name="40% - Accent2 9 2 2 4" xfId="1444" xr:uid="{00000000-0005-0000-0000-0000A2050000}"/>
    <cellStyle name="40% - Accent2 9 2 3" xfId="1445" xr:uid="{00000000-0005-0000-0000-0000A3050000}"/>
    <cellStyle name="40% - Accent2 9 2 3 2" xfId="1446" xr:uid="{00000000-0005-0000-0000-0000A4050000}"/>
    <cellStyle name="40% - Accent2 9 2 4" xfId="1447" xr:uid="{00000000-0005-0000-0000-0000A5050000}"/>
    <cellStyle name="40% - Accent2 9 2 5" xfId="1448" xr:uid="{00000000-0005-0000-0000-0000A6050000}"/>
    <cellStyle name="40% - Accent2 9 3" xfId="1449" xr:uid="{00000000-0005-0000-0000-0000A7050000}"/>
    <cellStyle name="40% - Accent2 9 3 2" xfId="1450" xr:uid="{00000000-0005-0000-0000-0000A8050000}"/>
    <cellStyle name="40% - Accent2 9 3 2 2" xfId="1451" xr:uid="{00000000-0005-0000-0000-0000A9050000}"/>
    <cellStyle name="40% - Accent2 9 3 3" xfId="1452" xr:uid="{00000000-0005-0000-0000-0000AA050000}"/>
    <cellStyle name="40% - Accent2 9 3 4" xfId="1453" xr:uid="{00000000-0005-0000-0000-0000AB050000}"/>
    <cellStyle name="40% - Accent2 9 4" xfId="1454" xr:uid="{00000000-0005-0000-0000-0000AC050000}"/>
    <cellStyle name="40% - Accent2 9 4 2" xfId="1455" xr:uid="{00000000-0005-0000-0000-0000AD050000}"/>
    <cellStyle name="40% - Accent2 9 5" xfId="1456" xr:uid="{00000000-0005-0000-0000-0000AE050000}"/>
    <cellStyle name="40% - Accent2 9 6" xfId="1457" xr:uid="{00000000-0005-0000-0000-0000AF050000}"/>
    <cellStyle name="40% - Accent3 10" xfId="1458" xr:uid="{00000000-0005-0000-0000-0000B0050000}"/>
    <cellStyle name="40% - Accent3 10 2" xfId="1459" xr:uid="{00000000-0005-0000-0000-0000B1050000}"/>
    <cellStyle name="40% - Accent3 10 2 2" xfId="1460" xr:uid="{00000000-0005-0000-0000-0000B2050000}"/>
    <cellStyle name="40% - Accent3 10 2 2 2" xfId="1461" xr:uid="{00000000-0005-0000-0000-0000B3050000}"/>
    <cellStyle name="40% - Accent3 10 2 3" xfId="1462" xr:uid="{00000000-0005-0000-0000-0000B4050000}"/>
    <cellStyle name="40% - Accent3 10 2 4" xfId="1463" xr:uid="{00000000-0005-0000-0000-0000B5050000}"/>
    <cellStyle name="40% - Accent3 10 3" xfId="1464" xr:uid="{00000000-0005-0000-0000-0000B6050000}"/>
    <cellStyle name="40% - Accent3 10 3 2" xfId="1465" xr:uid="{00000000-0005-0000-0000-0000B7050000}"/>
    <cellStyle name="40% - Accent3 10 4" xfId="1466" xr:uid="{00000000-0005-0000-0000-0000B8050000}"/>
    <cellStyle name="40% - Accent3 10 5" xfId="1467" xr:uid="{00000000-0005-0000-0000-0000B9050000}"/>
    <cellStyle name="40% - Accent3 11" xfId="1468" xr:uid="{00000000-0005-0000-0000-0000BA050000}"/>
    <cellStyle name="40% - Accent3 11 2" xfId="1469" xr:uid="{00000000-0005-0000-0000-0000BB050000}"/>
    <cellStyle name="40% - Accent3 11 2 2" xfId="1470" xr:uid="{00000000-0005-0000-0000-0000BC050000}"/>
    <cellStyle name="40% - Accent3 11 2 2 2" xfId="1471" xr:uid="{00000000-0005-0000-0000-0000BD050000}"/>
    <cellStyle name="40% - Accent3 11 2 3" xfId="1472" xr:uid="{00000000-0005-0000-0000-0000BE050000}"/>
    <cellStyle name="40% - Accent3 11 2 4" xfId="1473" xr:uid="{00000000-0005-0000-0000-0000BF050000}"/>
    <cellStyle name="40% - Accent3 11 3" xfId="1474" xr:uid="{00000000-0005-0000-0000-0000C0050000}"/>
    <cellStyle name="40% - Accent3 11 3 2" xfId="1475" xr:uid="{00000000-0005-0000-0000-0000C1050000}"/>
    <cellStyle name="40% - Accent3 11 4" xfId="1476" xr:uid="{00000000-0005-0000-0000-0000C2050000}"/>
    <cellStyle name="40% - Accent3 11 5" xfId="1477" xr:uid="{00000000-0005-0000-0000-0000C3050000}"/>
    <cellStyle name="40% - Accent3 12" xfId="1478" xr:uid="{00000000-0005-0000-0000-0000C4050000}"/>
    <cellStyle name="40% - Accent3 12 2" xfId="1479" xr:uid="{00000000-0005-0000-0000-0000C5050000}"/>
    <cellStyle name="40% - Accent3 12 2 2" xfId="1480" xr:uid="{00000000-0005-0000-0000-0000C6050000}"/>
    <cellStyle name="40% - Accent3 12 3" xfId="1481" xr:uid="{00000000-0005-0000-0000-0000C7050000}"/>
    <cellStyle name="40% - Accent3 12 4" xfId="1482" xr:uid="{00000000-0005-0000-0000-0000C8050000}"/>
    <cellStyle name="40% - Accent3 13" xfId="1483" xr:uid="{00000000-0005-0000-0000-0000C9050000}"/>
    <cellStyle name="40% - Accent3 13 2" xfId="1484" xr:uid="{00000000-0005-0000-0000-0000CA050000}"/>
    <cellStyle name="40% - Accent3 14" xfId="1485" xr:uid="{00000000-0005-0000-0000-0000CB050000}"/>
    <cellStyle name="40% - Accent3 14 2" xfId="1486" xr:uid="{00000000-0005-0000-0000-0000CC050000}"/>
    <cellStyle name="40% - Accent3 15" xfId="1487" xr:uid="{00000000-0005-0000-0000-0000CD050000}"/>
    <cellStyle name="40% - Accent3 16" xfId="1488" xr:uid="{00000000-0005-0000-0000-0000CE050000}"/>
    <cellStyle name="40% - Accent3 2" xfId="1489" xr:uid="{00000000-0005-0000-0000-0000CF050000}"/>
    <cellStyle name="40% - Accent3 2 2" xfId="1490" xr:uid="{00000000-0005-0000-0000-0000D0050000}"/>
    <cellStyle name="40% - Accent3 2 2 2" xfId="1491" xr:uid="{00000000-0005-0000-0000-0000D1050000}"/>
    <cellStyle name="40% - Accent3 2 2 2 2" xfId="1492" xr:uid="{00000000-0005-0000-0000-0000D2050000}"/>
    <cellStyle name="40% - Accent3 2 2 2 2 2" xfId="1493" xr:uid="{00000000-0005-0000-0000-0000D3050000}"/>
    <cellStyle name="40% - Accent3 2 2 2 2 2 2" xfId="1494" xr:uid="{00000000-0005-0000-0000-0000D4050000}"/>
    <cellStyle name="40% - Accent3 2 2 2 2 3" xfId="1495" xr:uid="{00000000-0005-0000-0000-0000D5050000}"/>
    <cellStyle name="40% - Accent3 2 2 2 2 4" xfId="1496" xr:uid="{00000000-0005-0000-0000-0000D6050000}"/>
    <cellStyle name="40% - Accent3 2 2 2 3" xfId="1497" xr:uid="{00000000-0005-0000-0000-0000D7050000}"/>
    <cellStyle name="40% - Accent3 2 2 2 3 2" xfId="1498" xr:uid="{00000000-0005-0000-0000-0000D8050000}"/>
    <cellStyle name="40% - Accent3 2 2 2 4" xfId="1499" xr:uid="{00000000-0005-0000-0000-0000D9050000}"/>
    <cellStyle name="40% - Accent3 2 2 2 5" xfId="1500" xr:uid="{00000000-0005-0000-0000-0000DA050000}"/>
    <cellStyle name="40% - Accent3 2 2 3" xfId="1501" xr:uid="{00000000-0005-0000-0000-0000DB050000}"/>
    <cellStyle name="40% - Accent3 2 2 3 2" xfId="1502" xr:uid="{00000000-0005-0000-0000-0000DC050000}"/>
    <cellStyle name="40% - Accent3 2 2 3 2 2" xfId="1503" xr:uid="{00000000-0005-0000-0000-0000DD050000}"/>
    <cellStyle name="40% - Accent3 2 2 3 3" xfId="1504" xr:uid="{00000000-0005-0000-0000-0000DE050000}"/>
    <cellStyle name="40% - Accent3 2 2 3 4" xfId="1505" xr:uid="{00000000-0005-0000-0000-0000DF050000}"/>
    <cellStyle name="40% - Accent3 2 2 4" xfId="1506" xr:uid="{00000000-0005-0000-0000-0000E0050000}"/>
    <cellStyle name="40% - Accent3 2 2 4 2" xfId="1507" xr:uid="{00000000-0005-0000-0000-0000E1050000}"/>
    <cellStyle name="40% - Accent3 2 2 5" xfId="1508" xr:uid="{00000000-0005-0000-0000-0000E2050000}"/>
    <cellStyle name="40% - Accent3 2 2 5 2" xfId="1509" xr:uid="{00000000-0005-0000-0000-0000E3050000}"/>
    <cellStyle name="40% - Accent3 2 2 6" xfId="1510" xr:uid="{00000000-0005-0000-0000-0000E4050000}"/>
    <cellStyle name="40% - Accent3 2 2 7" xfId="1511" xr:uid="{00000000-0005-0000-0000-0000E5050000}"/>
    <cellStyle name="40% - Accent3 2 3" xfId="1512" xr:uid="{00000000-0005-0000-0000-0000E6050000}"/>
    <cellStyle name="40% - Accent3 2 3 2" xfId="1513" xr:uid="{00000000-0005-0000-0000-0000E7050000}"/>
    <cellStyle name="40% - Accent3 2 3 2 2" xfId="1514" xr:uid="{00000000-0005-0000-0000-0000E8050000}"/>
    <cellStyle name="40% - Accent3 2 3 2 2 2" xfId="1515" xr:uid="{00000000-0005-0000-0000-0000E9050000}"/>
    <cellStyle name="40% - Accent3 2 3 2 3" xfId="1516" xr:uid="{00000000-0005-0000-0000-0000EA050000}"/>
    <cellStyle name="40% - Accent3 2 3 2 4" xfId="1517" xr:uid="{00000000-0005-0000-0000-0000EB050000}"/>
    <cellStyle name="40% - Accent3 2 3 3" xfId="1518" xr:uid="{00000000-0005-0000-0000-0000EC050000}"/>
    <cellStyle name="40% - Accent3 2 3 3 2" xfId="1519" xr:uid="{00000000-0005-0000-0000-0000ED050000}"/>
    <cellStyle name="40% - Accent3 2 3 4" xfId="1520" xr:uid="{00000000-0005-0000-0000-0000EE050000}"/>
    <cellStyle name="40% - Accent3 2 3 5" xfId="1521" xr:uid="{00000000-0005-0000-0000-0000EF050000}"/>
    <cellStyle name="40% - Accent3 2 4" xfId="1522" xr:uid="{00000000-0005-0000-0000-0000F0050000}"/>
    <cellStyle name="40% - Accent3 2 4 2" xfId="1523" xr:uid="{00000000-0005-0000-0000-0000F1050000}"/>
    <cellStyle name="40% - Accent3 2 4 2 2" xfId="1524" xr:uid="{00000000-0005-0000-0000-0000F2050000}"/>
    <cellStyle name="40% - Accent3 2 4 3" xfId="1525" xr:uid="{00000000-0005-0000-0000-0000F3050000}"/>
    <cellStyle name="40% - Accent3 2 4 4" xfId="1526" xr:uid="{00000000-0005-0000-0000-0000F4050000}"/>
    <cellStyle name="40% - Accent3 2 5" xfId="1527" xr:uid="{00000000-0005-0000-0000-0000F5050000}"/>
    <cellStyle name="40% - Accent3 2 5 2" xfId="1528" xr:uid="{00000000-0005-0000-0000-0000F6050000}"/>
    <cellStyle name="40% - Accent3 2 6" xfId="1529" xr:uid="{00000000-0005-0000-0000-0000F7050000}"/>
    <cellStyle name="40% - Accent3 2 6 2" xfId="1530" xr:uid="{00000000-0005-0000-0000-0000F8050000}"/>
    <cellStyle name="40% - Accent3 2 7" xfId="1531" xr:uid="{00000000-0005-0000-0000-0000F9050000}"/>
    <cellStyle name="40% - Accent3 2 8" xfId="1532" xr:uid="{00000000-0005-0000-0000-0000FA050000}"/>
    <cellStyle name="40% - Accent3 3" xfId="1533" xr:uid="{00000000-0005-0000-0000-0000FB050000}"/>
    <cellStyle name="40% - Accent3 3 2" xfId="1534" xr:uid="{00000000-0005-0000-0000-0000FC050000}"/>
    <cellStyle name="40% - Accent3 4" xfId="1535" xr:uid="{00000000-0005-0000-0000-0000FD050000}"/>
    <cellStyle name="40% - Accent3 4 2" xfId="1536" xr:uid="{00000000-0005-0000-0000-0000FE050000}"/>
    <cellStyle name="40% - Accent3 4 2 2" xfId="1537" xr:uid="{00000000-0005-0000-0000-0000FF050000}"/>
    <cellStyle name="40% - Accent3 4 2 2 2" xfId="1538" xr:uid="{00000000-0005-0000-0000-000000060000}"/>
    <cellStyle name="40% - Accent3 4 2 2 2 2" xfId="1539" xr:uid="{00000000-0005-0000-0000-000001060000}"/>
    <cellStyle name="40% - Accent3 4 2 2 3" xfId="1540" xr:uid="{00000000-0005-0000-0000-000002060000}"/>
    <cellStyle name="40% - Accent3 4 2 2 4" xfId="1541" xr:uid="{00000000-0005-0000-0000-000003060000}"/>
    <cellStyle name="40% - Accent3 4 2 3" xfId="1542" xr:uid="{00000000-0005-0000-0000-000004060000}"/>
    <cellStyle name="40% - Accent3 4 2 3 2" xfId="1543" xr:uid="{00000000-0005-0000-0000-000005060000}"/>
    <cellStyle name="40% - Accent3 4 2 4" xfId="1544" xr:uid="{00000000-0005-0000-0000-000006060000}"/>
    <cellStyle name="40% - Accent3 4 2 5" xfId="1545" xr:uid="{00000000-0005-0000-0000-000007060000}"/>
    <cellStyle name="40% - Accent3 4 3" xfId="1546" xr:uid="{00000000-0005-0000-0000-000008060000}"/>
    <cellStyle name="40% - Accent3 4 3 2" xfId="1547" xr:uid="{00000000-0005-0000-0000-000009060000}"/>
    <cellStyle name="40% - Accent3 4 3 2 2" xfId="1548" xr:uid="{00000000-0005-0000-0000-00000A060000}"/>
    <cellStyle name="40% - Accent3 4 3 3" xfId="1549" xr:uid="{00000000-0005-0000-0000-00000B060000}"/>
    <cellStyle name="40% - Accent3 4 3 4" xfId="1550" xr:uid="{00000000-0005-0000-0000-00000C060000}"/>
    <cellStyle name="40% - Accent3 4 4" xfId="1551" xr:uid="{00000000-0005-0000-0000-00000D060000}"/>
    <cellStyle name="40% - Accent3 4 4 2" xfId="1552" xr:uid="{00000000-0005-0000-0000-00000E060000}"/>
    <cellStyle name="40% - Accent3 4 5" xfId="1553" xr:uid="{00000000-0005-0000-0000-00000F060000}"/>
    <cellStyle name="40% - Accent3 4 5 2" xfId="1554" xr:uid="{00000000-0005-0000-0000-000010060000}"/>
    <cellStyle name="40% - Accent3 4 6" xfId="1555" xr:uid="{00000000-0005-0000-0000-000011060000}"/>
    <cellStyle name="40% - Accent3 4 7" xfId="1556" xr:uid="{00000000-0005-0000-0000-000012060000}"/>
    <cellStyle name="40% - Accent3 5" xfId="1557" xr:uid="{00000000-0005-0000-0000-000013060000}"/>
    <cellStyle name="40% - Accent3 5 2" xfId="1558" xr:uid="{00000000-0005-0000-0000-000014060000}"/>
    <cellStyle name="40% - Accent3 5 2 2" xfId="1559" xr:uid="{00000000-0005-0000-0000-000015060000}"/>
    <cellStyle name="40% - Accent3 5 2 2 2" xfId="1560" xr:uid="{00000000-0005-0000-0000-000016060000}"/>
    <cellStyle name="40% - Accent3 5 2 2 2 2" xfId="1561" xr:uid="{00000000-0005-0000-0000-000017060000}"/>
    <cellStyle name="40% - Accent3 5 2 2 3" xfId="1562" xr:uid="{00000000-0005-0000-0000-000018060000}"/>
    <cellStyle name="40% - Accent3 5 2 2 4" xfId="1563" xr:uid="{00000000-0005-0000-0000-000019060000}"/>
    <cellStyle name="40% - Accent3 5 2 3" xfId="1564" xr:uid="{00000000-0005-0000-0000-00001A060000}"/>
    <cellStyle name="40% - Accent3 5 2 3 2" xfId="1565" xr:uid="{00000000-0005-0000-0000-00001B060000}"/>
    <cellStyle name="40% - Accent3 5 2 4" xfId="1566" xr:uid="{00000000-0005-0000-0000-00001C060000}"/>
    <cellStyle name="40% - Accent3 5 2 5" xfId="1567" xr:uid="{00000000-0005-0000-0000-00001D060000}"/>
    <cellStyle name="40% - Accent3 5 3" xfId="1568" xr:uid="{00000000-0005-0000-0000-00001E060000}"/>
    <cellStyle name="40% - Accent3 5 3 2" xfId="1569" xr:uid="{00000000-0005-0000-0000-00001F060000}"/>
    <cellStyle name="40% - Accent3 5 3 2 2" xfId="1570" xr:uid="{00000000-0005-0000-0000-000020060000}"/>
    <cellStyle name="40% - Accent3 5 3 3" xfId="1571" xr:uid="{00000000-0005-0000-0000-000021060000}"/>
    <cellStyle name="40% - Accent3 5 3 4" xfId="1572" xr:uid="{00000000-0005-0000-0000-000022060000}"/>
    <cellStyle name="40% - Accent3 5 4" xfId="1573" xr:uid="{00000000-0005-0000-0000-000023060000}"/>
    <cellStyle name="40% - Accent3 5 4 2" xfId="1574" xr:uid="{00000000-0005-0000-0000-000024060000}"/>
    <cellStyle name="40% - Accent3 5 5" xfId="1575" xr:uid="{00000000-0005-0000-0000-000025060000}"/>
    <cellStyle name="40% - Accent3 5 5 2" xfId="1576" xr:uid="{00000000-0005-0000-0000-000026060000}"/>
    <cellStyle name="40% - Accent3 5 6" xfId="1577" xr:uid="{00000000-0005-0000-0000-000027060000}"/>
    <cellStyle name="40% - Accent3 5 7" xfId="1578" xr:uid="{00000000-0005-0000-0000-000028060000}"/>
    <cellStyle name="40% - Accent3 6" xfId="1579" xr:uid="{00000000-0005-0000-0000-000029060000}"/>
    <cellStyle name="40% - Accent3 7" xfId="1580" xr:uid="{00000000-0005-0000-0000-00002A060000}"/>
    <cellStyle name="40% - Accent3 7 2" xfId="1581" xr:uid="{00000000-0005-0000-0000-00002B060000}"/>
    <cellStyle name="40% - Accent3 7 2 2" xfId="1582" xr:uid="{00000000-0005-0000-0000-00002C060000}"/>
    <cellStyle name="40% - Accent3 7 2 2 2" xfId="1583" xr:uid="{00000000-0005-0000-0000-00002D060000}"/>
    <cellStyle name="40% - Accent3 7 2 2 2 2" xfId="1584" xr:uid="{00000000-0005-0000-0000-00002E060000}"/>
    <cellStyle name="40% - Accent3 7 2 2 3" xfId="1585" xr:uid="{00000000-0005-0000-0000-00002F060000}"/>
    <cellStyle name="40% - Accent3 7 2 2 4" xfId="1586" xr:uid="{00000000-0005-0000-0000-000030060000}"/>
    <cellStyle name="40% - Accent3 7 2 3" xfId="1587" xr:uid="{00000000-0005-0000-0000-000031060000}"/>
    <cellStyle name="40% - Accent3 7 2 3 2" xfId="1588" xr:uid="{00000000-0005-0000-0000-000032060000}"/>
    <cellStyle name="40% - Accent3 7 2 4" xfId="1589" xr:uid="{00000000-0005-0000-0000-000033060000}"/>
    <cellStyle name="40% - Accent3 7 2 5" xfId="1590" xr:uid="{00000000-0005-0000-0000-000034060000}"/>
    <cellStyle name="40% - Accent3 7 3" xfId="1591" xr:uid="{00000000-0005-0000-0000-000035060000}"/>
    <cellStyle name="40% - Accent3 7 3 2" xfId="1592" xr:uid="{00000000-0005-0000-0000-000036060000}"/>
    <cellStyle name="40% - Accent3 7 3 2 2" xfId="1593" xr:uid="{00000000-0005-0000-0000-000037060000}"/>
    <cellStyle name="40% - Accent3 7 3 3" xfId="1594" xr:uid="{00000000-0005-0000-0000-000038060000}"/>
    <cellStyle name="40% - Accent3 7 3 4" xfId="1595" xr:uid="{00000000-0005-0000-0000-000039060000}"/>
    <cellStyle name="40% - Accent3 7 4" xfId="1596" xr:uid="{00000000-0005-0000-0000-00003A060000}"/>
    <cellStyle name="40% - Accent3 7 4 2" xfId="1597" xr:uid="{00000000-0005-0000-0000-00003B060000}"/>
    <cellStyle name="40% - Accent3 7 5" xfId="1598" xr:uid="{00000000-0005-0000-0000-00003C060000}"/>
    <cellStyle name="40% - Accent3 7 6" xfId="1599" xr:uid="{00000000-0005-0000-0000-00003D060000}"/>
    <cellStyle name="40% - Accent3 8" xfId="1600" xr:uid="{00000000-0005-0000-0000-00003E060000}"/>
    <cellStyle name="40% - Accent3 8 2" xfId="1601" xr:uid="{00000000-0005-0000-0000-00003F060000}"/>
    <cellStyle name="40% - Accent3 8 2 2" xfId="1602" xr:uid="{00000000-0005-0000-0000-000040060000}"/>
    <cellStyle name="40% - Accent3 8 2 2 2" xfId="1603" xr:uid="{00000000-0005-0000-0000-000041060000}"/>
    <cellStyle name="40% - Accent3 8 2 2 2 2" xfId="1604" xr:uid="{00000000-0005-0000-0000-000042060000}"/>
    <cellStyle name="40% - Accent3 8 2 2 3" xfId="1605" xr:uid="{00000000-0005-0000-0000-000043060000}"/>
    <cellStyle name="40% - Accent3 8 2 2 4" xfId="1606" xr:uid="{00000000-0005-0000-0000-000044060000}"/>
    <cellStyle name="40% - Accent3 8 2 3" xfId="1607" xr:uid="{00000000-0005-0000-0000-000045060000}"/>
    <cellStyle name="40% - Accent3 8 2 3 2" xfId="1608" xr:uid="{00000000-0005-0000-0000-000046060000}"/>
    <cellStyle name="40% - Accent3 8 2 4" xfId="1609" xr:uid="{00000000-0005-0000-0000-000047060000}"/>
    <cellStyle name="40% - Accent3 8 2 5" xfId="1610" xr:uid="{00000000-0005-0000-0000-000048060000}"/>
    <cellStyle name="40% - Accent3 8 3" xfId="1611" xr:uid="{00000000-0005-0000-0000-000049060000}"/>
    <cellStyle name="40% - Accent3 8 3 2" xfId="1612" xr:uid="{00000000-0005-0000-0000-00004A060000}"/>
    <cellStyle name="40% - Accent3 8 3 2 2" xfId="1613" xr:uid="{00000000-0005-0000-0000-00004B060000}"/>
    <cellStyle name="40% - Accent3 8 3 3" xfId="1614" xr:uid="{00000000-0005-0000-0000-00004C060000}"/>
    <cellStyle name="40% - Accent3 8 3 4" xfId="1615" xr:uid="{00000000-0005-0000-0000-00004D060000}"/>
    <cellStyle name="40% - Accent3 8 4" xfId="1616" xr:uid="{00000000-0005-0000-0000-00004E060000}"/>
    <cellStyle name="40% - Accent3 8 4 2" xfId="1617" xr:uid="{00000000-0005-0000-0000-00004F060000}"/>
    <cellStyle name="40% - Accent3 8 5" xfId="1618" xr:uid="{00000000-0005-0000-0000-000050060000}"/>
    <cellStyle name="40% - Accent3 8 6" xfId="1619" xr:uid="{00000000-0005-0000-0000-000051060000}"/>
    <cellStyle name="40% - Accent3 9" xfId="1620" xr:uid="{00000000-0005-0000-0000-000052060000}"/>
    <cellStyle name="40% - Accent3 9 2" xfId="1621" xr:uid="{00000000-0005-0000-0000-000053060000}"/>
    <cellStyle name="40% - Accent3 9 2 2" xfId="1622" xr:uid="{00000000-0005-0000-0000-000054060000}"/>
    <cellStyle name="40% - Accent3 9 2 2 2" xfId="1623" xr:uid="{00000000-0005-0000-0000-000055060000}"/>
    <cellStyle name="40% - Accent3 9 2 2 2 2" xfId="1624" xr:uid="{00000000-0005-0000-0000-000056060000}"/>
    <cellStyle name="40% - Accent3 9 2 2 3" xfId="1625" xr:uid="{00000000-0005-0000-0000-000057060000}"/>
    <cellStyle name="40% - Accent3 9 2 2 4" xfId="1626" xr:uid="{00000000-0005-0000-0000-000058060000}"/>
    <cellStyle name="40% - Accent3 9 2 3" xfId="1627" xr:uid="{00000000-0005-0000-0000-000059060000}"/>
    <cellStyle name="40% - Accent3 9 2 3 2" xfId="1628" xr:uid="{00000000-0005-0000-0000-00005A060000}"/>
    <cellStyle name="40% - Accent3 9 2 4" xfId="1629" xr:uid="{00000000-0005-0000-0000-00005B060000}"/>
    <cellStyle name="40% - Accent3 9 2 5" xfId="1630" xr:uid="{00000000-0005-0000-0000-00005C060000}"/>
    <cellStyle name="40% - Accent3 9 3" xfId="1631" xr:uid="{00000000-0005-0000-0000-00005D060000}"/>
    <cellStyle name="40% - Accent3 9 3 2" xfId="1632" xr:uid="{00000000-0005-0000-0000-00005E060000}"/>
    <cellStyle name="40% - Accent3 9 3 2 2" xfId="1633" xr:uid="{00000000-0005-0000-0000-00005F060000}"/>
    <cellStyle name="40% - Accent3 9 3 3" xfId="1634" xr:uid="{00000000-0005-0000-0000-000060060000}"/>
    <cellStyle name="40% - Accent3 9 3 4" xfId="1635" xr:uid="{00000000-0005-0000-0000-000061060000}"/>
    <cellStyle name="40% - Accent3 9 4" xfId="1636" xr:uid="{00000000-0005-0000-0000-000062060000}"/>
    <cellStyle name="40% - Accent3 9 4 2" xfId="1637" xr:uid="{00000000-0005-0000-0000-000063060000}"/>
    <cellStyle name="40% - Accent3 9 5" xfId="1638" xr:uid="{00000000-0005-0000-0000-000064060000}"/>
    <cellStyle name="40% - Accent3 9 6" xfId="1639" xr:uid="{00000000-0005-0000-0000-000065060000}"/>
    <cellStyle name="40% - Accent4 10" xfId="1640" xr:uid="{00000000-0005-0000-0000-000066060000}"/>
    <cellStyle name="40% - Accent4 10 2" xfId="1641" xr:uid="{00000000-0005-0000-0000-000067060000}"/>
    <cellStyle name="40% - Accent4 10 2 2" xfId="1642" xr:uid="{00000000-0005-0000-0000-000068060000}"/>
    <cellStyle name="40% - Accent4 10 2 2 2" xfId="1643" xr:uid="{00000000-0005-0000-0000-000069060000}"/>
    <cellStyle name="40% - Accent4 10 2 3" xfId="1644" xr:uid="{00000000-0005-0000-0000-00006A060000}"/>
    <cellStyle name="40% - Accent4 10 2 4" xfId="1645" xr:uid="{00000000-0005-0000-0000-00006B060000}"/>
    <cellStyle name="40% - Accent4 10 3" xfId="1646" xr:uid="{00000000-0005-0000-0000-00006C060000}"/>
    <cellStyle name="40% - Accent4 10 3 2" xfId="1647" xr:uid="{00000000-0005-0000-0000-00006D060000}"/>
    <cellStyle name="40% - Accent4 10 4" xfId="1648" xr:uid="{00000000-0005-0000-0000-00006E060000}"/>
    <cellStyle name="40% - Accent4 10 5" xfId="1649" xr:uid="{00000000-0005-0000-0000-00006F060000}"/>
    <cellStyle name="40% - Accent4 11" xfId="1650" xr:uid="{00000000-0005-0000-0000-000070060000}"/>
    <cellStyle name="40% - Accent4 11 2" xfId="1651" xr:uid="{00000000-0005-0000-0000-000071060000}"/>
    <cellStyle name="40% - Accent4 11 2 2" xfId="1652" xr:uid="{00000000-0005-0000-0000-000072060000}"/>
    <cellStyle name="40% - Accent4 11 2 2 2" xfId="1653" xr:uid="{00000000-0005-0000-0000-000073060000}"/>
    <cellStyle name="40% - Accent4 11 2 3" xfId="1654" xr:uid="{00000000-0005-0000-0000-000074060000}"/>
    <cellStyle name="40% - Accent4 11 2 4" xfId="1655" xr:uid="{00000000-0005-0000-0000-000075060000}"/>
    <cellStyle name="40% - Accent4 11 3" xfId="1656" xr:uid="{00000000-0005-0000-0000-000076060000}"/>
    <cellStyle name="40% - Accent4 11 3 2" xfId="1657" xr:uid="{00000000-0005-0000-0000-000077060000}"/>
    <cellStyle name="40% - Accent4 11 4" xfId="1658" xr:uid="{00000000-0005-0000-0000-000078060000}"/>
    <cellStyle name="40% - Accent4 11 5" xfId="1659" xr:uid="{00000000-0005-0000-0000-000079060000}"/>
    <cellStyle name="40% - Accent4 12" xfId="1660" xr:uid="{00000000-0005-0000-0000-00007A060000}"/>
    <cellStyle name="40% - Accent4 12 2" xfId="1661" xr:uid="{00000000-0005-0000-0000-00007B060000}"/>
    <cellStyle name="40% - Accent4 12 2 2" xfId="1662" xr:uid="{00000000-0005-0000-0000-00007C060000}"/>
    <cellStyle name="40% - Accent4 12 3" xfId="1663" xr:uid="{00000000-0005-0000-0000-00007D060000}"/>
    <cellStyle name="40% - Accent4 12 4" xfId="1664" xr:uid="{00000000-0005-0000-0000-00007E060000}"/>
    <cellStyle name="40% - Accent4 13" xfId="1665" xr:uid="{00000000-0005-0000-0000-00007F060000}"/>
    <cellStyle name="40% - Accent4 13 2" xfId="1666" xr:uid="{00000000-0005-0000-0000-000080060000}"/>
    <cellStyle name="40% - Accent4 14" xfId="1667" xr:uid="{00000000-0005-0000-0000-000081060000}"/>
    <cellStyle name="40% - Accent4 14 2" xfId="1668" xr:uid="{00000000-0005-0000-0000-000082060000}"/>
    <cellStyle name="40% - Accent4 15" xfId="1669" xr:uid="{00000000-0005-0000-0000-000083060000}"/>
    <cellStyle name="40% - Accent4 16" xfId="1670" xr:uid="{00000000-0005-0000-0000-000084060000}"/>
    <cellStyle name="40% - Accent4 2" xfId="1671" xr:uid="{00000000-0005-0000-0000-000085060000}"/>
    <cellStyle name="40% - Accent4 2 2" xfId="1672" xr:uid="{00000000-0005-0000-0000-000086060000}"/>
    <cellStyle name="40% - Accent4 2 2 2" xfId="1673" xr:uid="{00000000-0005-0000-0000-000087060000}"/>
    <cellStyle name="40% - Accent4 2 2 2 2" xfId="1674" xr:uid="{00000000-0005-0000-0000-000088060000}"/>
    <cellStyle name="40% - Accent4 2 2 2 2 2" xfId="1675" xr:uid="{00000000-0005-0000-0000-000089060000}"/>
    <cellStyle name="40% - Accent4 2 2 2 2 2 2" xfId="1676" xr:uid="{00000000-0005-0000-0000-00008A060000}"/>
    <cellStyle name="40% - Accent4 2 2 2 2 3" xfId="1677" xr:uid="{00000000-0005-0000-0000-00008B060000}"/>
    <cellStyle name="40% - Accent4 2 2 2 2 4" xfId="1678" xr:uid="{00000000-0005-0000-0000-00008C060000}"/>
    <cellStyle name="40% - Accent4 2 2 2 3" xfId="1679" xr:uid="{00000000-0005-0000-0000-00008D060000}"/>
    <cellStyle name="40% - Accent4 2 2 2 3 2" xfId="1680" xr:uid="{00000000-0005-0000-0000-00008E060000}"/>
    <cellStyle name="40% - Accent4 2 2 2 4" xfId="1681" xr:uid="{00000000-0005-0000-0000-00008F060000}"/>
    <cellStyle name="40% - Accent4 2 2 2 5" xfId="1682" xr:uid="{00000000-0005-0000-0000-000090060000}"/>
    <cellStyle name="40% - Accent4 2 2 3" xfId="1683" xr:uid="{00000000-0005-0000-0000-000091060000}"/>
    <cellStyle name="40% - Accent4 2 2 3 2" xfId="1684" xr:uid="{00000000-0005-0000-0000-000092060000}"/>
    <cellStyle name="40% - Accent4 2 2 3 2 2" xfId="1685" xr:uid="{00000000-0005-0000-0000-000093060000}"/>
    <cellStyle name="40% - Accent4 2 2 3 3" xfId="1686" xr:uid="{00000000-0005-0000-0000-000094060000}"/>
    <cellStyle name="40% - Accent4 2 2 3 4" xfId="1687" xr:uid="{00000000-0005-0000-0000-000095060000}"/>
    <cellStyle name="40% - Accent4 2 2 4" xfId="1688" xr:uid="{00000000-0005-0000-0000-000096060000}"/>
    <cellStyle name="40% - Accent4 2 2 4 2" xfId="1689" xr:uid="{00000000-0005-0000-0000-000097060000}"/>
    <cellStyle name="40% - Accent4 2 2 5" xfId="1690" xr:uid="{00000000-0005-0000-0000-000098060000}"/>
    <cellStyle name="40% - Accent4 2 2 5 2" xfId="1691" xr:uid="{00000000-0005-0000-0000-000099060000}"/>
    <cellStyle name="40% - Accent4 2 2 6" xfId="1692" xr:uid="{00000000-0005-0000-0000-00009A060000}"/>
    <cellStyle name="40% - Accent4 2 2 7" xfId="1693" xr:uid="{00000000-0005-0000-0000-00009B060000}"/>
    <cellStyle name="40% - Accent4 2 3" xfId="1694" xr:uid="{00000000-0005-0000-0000-00009C060000}"/>
    <cellStyle name="40% - Accent4 2 3 2" xfId="1695" xr:uid="{00000000-0005-0000-0000-00009D060000}"/>
    <cellStyle name="40% - Accent4 2 3 2 2" xfId="1696" xr:uid="{00000000-0005-0000-0000-00009E060000}"/>
    <cellStyle name="40% - Accent4 2 3 2 2 2" xfId="1697" xr:uid="{00000000-0005-0000-0000-00009F060000}"/>
    <cellStyle name="40% - Accent4 2 3 2 3" xfId="1698" xr:uid="{00000000-0005-0000-0000-0000A0060000}"/>
    <cellStyle name="40% - Accent4 2 3 2 4" xfId="1699" xr:uid="{00000000-0005-0000-0000-0000A1060000}"/>
    <cellStyle name="40% - Accent4 2 3 3" xfId="1700" xr:uid="{00000000-0005-0000-0000-0000A2060000}"/>
    <cellStyle name="40% - Accent4 2 3 3 2" xfId="1701" xr:uid="{00000000-0005-0000-0000-0000A3060000}"/>
    <cellStyle name="40% - Accent4 2 3 4" xfId="1702" xr:uid="{00000000-0005-0000-0000-0000A4060000}"/>
    <cellStyle name="40% - Accent4 2 3 5" xfId="1703" xr:uid="{00000000-0005-0000-0000-0000A5060000}"/>
    <cellStyle name="40% - Accent4 2 4" xfId="1704" xr:uid="{00000000-0005-0000-0000-0000A6060000}"/>
    <cellStyle name="40% - Accent4 2 4 2" xfId="1705" xr:uid="{00000000-0005-0000-0000-0000A7060000}"/>
    <cellStyle name="40% - Accent4 2 4 2 2" xfId="1706" xr:uid="{00000000-0005-0000-0000-0000A8060000}"/>
    <cellStyle name="40% - Accent4 2 4 3" xfId="1707" xr:uid="{00000000-0005-0000-0000-0000A9060000}"/>
    <cellStyle name="40% - Accent4 2 4 4" xfId="1708" xr:uid="{00000000-0005-0000-0000-0000AA060000}"/>
    <cellStyle name="40% - Accent4 2 5" xfId="1709" xr:uid="{00000000-0005-0000-0000-0000AB060000}"/>
    <cellStyle name="40% - Accent4 2 5 2" xfId="1710" xr:uid="{00000000-0005-0000-0000-0000AC060000}"/>
    <cellStyle name="40% - Accent4 2 6" xfId="1711" xr:uid="{00000000-0005-0000-0000-0000AD060000}"/>
    <cellStyle name="40% - Accent4 2 6 2" xfId="1712" xr:uid="{00000000-0005-0000-0000-0000AE060000}"/>
    <cellStyle name="40% - Accent4 2 7" xfId="1713" xr:uid="{00000000-0005-0000-0000-0000AF060000}"/>
    <cellStyle name="40% - Accent4 2 8" xfId="1714" xr:uid="{00000000-0005-0000-0000-0000B0060000}"/>
    <cellStyle name="40% - Accent4 3" xfId="1715" xr:uid="{00000000-0005-0000-0000-0000B1060000}"/>
    <cellStyle name="40% - Accent4 3 2" xfId="1716" xr:uid="{00000000-0005-0000-0000-0000B2060000}"/>
    <cellStyle name="40% - Accent4 4" xfId="1717" xr:uid="{00000000-0005-0000-0000-0000B3060000}"/>
    <cellStyle name="40% - Accent4 4 2" xfId="1718" xr:uid="{00000000-0005-0000-0000-0000B4060000}"/>
    <cellStyle name="40% - Accent4 4 2 2" xfId="1719" xr:uid="{00000000-0005-0000-0000-0000B5060000}"/>
    <cellStyle name="40% - Accent4 4 2 2 2" xfId="1720" xr:uid="{00000000-0005-0000-0000-0000B6060000}"/>
    <cellStyle name="40% - Accent4 4 2 2 2 2" xfId="1721" xr:uid="{00000000-0005-0000-0000-0000B7060000}"/>
    <cellStyle name="40% - Accent4 4 2 2 3" xfId="1722" xr:uid="{00000000-0005-0000-0000-0000B8060000}"/>
    <cellStyle name="40% - Accent4 4 2 2 4" xfId="1723" xr:uid="{00000000-0005-0000-0000-0000B9060000}"/>
    <cellStyle name="40% - Accent4 4 2 3" xfId="1724" xr:uid="{00000000-0005-0000-0000-0000BA060000}"/>
    <cellStyle name="40% - Accent4 4 2 3 2" xfId="1725" xr:uid="{00000000-0005-0000-0000-0000BB060000}"/>
    <cellStyle name="40% - Accent4 4 2 4" xfId="1726" xr:uid="{00000000-0005-0000-0000-0000BC060000}"/>
    <cellStyle name="40% - Accent4 4 2 5" xfId="1727" xr:uid="{00000000-0005-0000-0000-0000BD060000}"/>
    <cellStyle name="40% - Accent4 4 3" xfId="1728" xr:uid="{00000000-0005-0000-0000-0000BE060000}"/>
    <cellStyle name="40% - Accent4 4 3 2" xfId="1729" xr:uid="{00000000-0005-0000-0000-0000BF060000}"/>
    <cellStyle name="40% - Accent4 4 3 2 2" xfId="1730" xr:uid="{00000000-0005-0000-0000-0000C0060000}"/>
    <cellStyle name="40% - Accent4 4 3 3" xfId="1731" xr:uid="{00000000-0005-0000-0000-0000C1060000}"/>
    <cellStyle name="40% - Accent4 4 3 4" xfId="1732" xr:uid="{00000000-0005-0000-0000-0000C2060000}"/>
    <cellStyle name="40% - Accent4 4 4" xfId="1733" xr:uid="{00000000-0005-0000-0000-0000C3060000}"/>
    <cellStyle name="40% - Accent4 4 4 2" xfId="1734" xr:uid="{00000000-0005-0000-0000-0000C4060000}"/>
    <cellStyle name="40% - Accent4 4 5" xfId="1735" xr:uid="{00000000-0005-0000-0000-0000C5060000}"/>
    <cellStyle name="40% - Accent4 4 5 2" xfId="1736" xr:uid="{00000000-0005-0000-0000-0000C6060000}"/>
    <cellStyle name="40% - Accent4 4 6" xfId="1737" xr:uid="{00000000-0005-0000-0000-0000C7060000}"/>
    <cellStyle name="40% - Accent4 4 7" xfId="1738" xr:uid="{00000000-0005-0000-0000-0000C8060000}"/>
    <cellStyle name="40% - Accent4 5" xfId="1739" xr:uid="{00000000-0005-0000-0000-0000C9060000}"/>
    <cellStyle name="40% - Accent4 5 2" xfId="1740" xr:uid="{00000000-0005-0000-0000-0000CA060000}"/>
    <cellStyle name="40% - Accent4 5 2 2" xfId="1741" xr:uid="{00000000-0005-0000-0000-0000CB060000}"/>
    <cellStyle name="40% - Accent4 5 2 2 2" xfId="1742" xr:uid="{00000000-0005-0000-0000-0000CC060000}"/>
    <cellStyle name="40% - Accent4 5 2 2 2 2" xfId="1743" xr:uid="{00000000-0005-0000-0000-0000CD060000}"/>
    <cellStyle name="40% - Accent4 5 2 2 3" xfId="1744" xr:uid="{00000000-0005-0000-0000-0000CE060000}"/>
    <cellStyle name="40% - Accent4 5 2 2 4" xfId="1745" xr:uid="{00000000-0005-0000-0000-0000CF060000}"/>
    <cellStyle name="40% - Accent4 5 2 3" xfId="1746" xr:uid="{00000000-0005-0000-0000-0000D0060000}"/>
    <cellStyle name="40% - Accent4 5 2 3 2" xfId="1747" xr:uid="{00000000-0005-0000-0000-0000D1060000}"/>
    <cellStyle name="40% - Accent4 5 2 4" xfId="1748" xr:uid="{00000000-0005-0000-0000-0000D2060000}"/>
    <cellStyle name="40% - Accent4 5 2 5" xfId="1749" xr:uid="{00000000-0005-0000-0000-0000D3060000}"/>
    <cellStyle name="40% - Accent4 5 3" xfId="1750" xr:uid="{00000000-0005-0000-0000-0000D4060000}"/>
    <cellStyle name="40% - Accent4 5 3 2" xfId="1751" xr:uid="{00000000-0005-0000-0000-0000D5060000}"/>
    <cellStyle name="40% - Accent4 5 3 2 2" xfId="1752" xr:uid="{00000000-0005-0000-0000-0000D6060000}"/>
    <cellStyle name="40% - Accent4 5 3 3" xfId="1753" xr:uid="{00000000-0005-0000-0000-0000D7060000}"/>
    <cellStyle name="40% - Accent4 5 3 4" xfId="1754" xr:uid="{00000000-0005-0000-0000-0000D8060000}"/>
    <cellStyle name="40% - Accent4 5 4" xfId="1755" xr:uid="{00000000-0005-0000-0000-0000D9060000}"/>
    <cellStyle name="40% - Accent4 5 4 2" xfId="1756" xr:uid="{00000000-0005-0000-0000-0000DA060000}"/>
    <cellStyle name="40% - Accent4 5 5" xfId="1757" xr:uid="{00000000-0005-0000-0000-0000DB060000}"/>
    <cellStyle name="40% - Accent4 5 5 2" xfId="1758" xr:uid="{00000000-0005-0000-0000-0000DC060000}"/>
    <cellStyle name="40% - Accent4 5 6" xfId="1759" xr:uid="{00000000-0005-0000-0000-0000DD060000}"/>
    <cellStyle name="40% - Accent4 5 7" xfId="1760" xr:uid="{00000000-0005-0000-0000-0000DE060000}"/>
    <cellStyle name="40% - Accent4 6" xfId="1761" xr:uid="{00000000-0005-0000-0000-0000DF060000}"/>
    <cellStyle name="40% - Accent4 7" xfId="1762" xr:uid="{00000000-0005-0000-0000-0000E0060000}"/>
    <cellStyle name="40% - Accent4 7 2" xfId="1763" xr:uid="{00000000-0005-0000-0000-0000E1060000}"/>
    <cellStyle name="40% - Accent4 7 2 2" xfId="1764" xr:uid="{00000000-0005-0000-0000-0000E2060000}"/>
    <cellStyle name="40% - Accent4 7 2 2 2" xfId="1765" xr:uid="{00000000-0005-0000-0000-0000E3060000}"/>
    <cellStyle name="40% - Accent4 7 2 2 2 2" xfId="1766" xr:uid="{00000000-0005-0000-0000-0000E4060000}"/>
    <cellStyle name="40% - Accent4 7 2 2 3" xfId="1767" xr:uid="{00000000-0005-0000-0000-0000E5060000}"/>
    <cellStyle name="40% - Accent4 7 2 2 4" xfId="1768" xr:uid="{00000000-0005-0000-0000-0000E6060000}"/>
    <cellStyle name="40% - Accent4 7 2 3" xfId="1769" xr:uid="{00000000-0005-0000-0000-0000E7060000}"/>
    <cellStyle name="40% - Accent4 7 2 3 2" xfId="1770" xr:uid="{00000000-0005-0000-0000-0000E8060000}"/>
    <cellStyle name="40% - Accent4 7 2 4" xfId="1771" xr:uid="{00000000-0005-0000-0000-0000E9060000}"/>
    <cellStyle name="40% - Accent4 7 2 5" xfId="1772" xr:uid="{00000000-0005-0000-0000-0000EA060000}"/>
    <cellStyle name="40% - Accent4 7 3" xfId="1773" xr:uid="{00000000-0005-0000-0000-0000EB060000}"/>
    <cellStyle name="40% - Accent4 7 3 2" xfId="1774" xr:uid="{00000000-0005-0000-0000-0000EC060000}"/>
    <cellStyle name="40% - Accent4 7 3 2 2" xfId="1775" xr:uid="{00000000-0005-0000-0000-0000ED060000}"/>
    <cellStyle name="40% - Accent4 7 3 3" xfId="1776" xr:uid="{00000000-0005-0000-0000-0000EE060000}"/>
    <cellStyle name="40% - Accent4 7 3 4" xfId="1777" xr:uid="{00000000-0005-0000-0000-0000EF060000}"/>
    <cellStyle name="40% - Accent4 7 4" xfId="1778" xr:uid="{00000000-0005-0000-0000-0000F0060000}"/>
    <cellStyle name="40% - Accent4 7 4 2" xfId="1779" xr:uid="{00000000-0005-0000-0000-0000F1060000}"/>
    <cellStyle name="40% - Accent4 7 5" xfId="1780" xr:uid="{00000000-0005-0000-0000-0000F2060000}"/>
    <cellStyle name="40% - Accent4 7 6" xfId="1781" xr:uid="{00000000-0005-0000-0000-0000F3060000}"/>
    <cellStyle name="40% - Accent4 8" xfId="1782" xr:uid="{00000000-0005-0000-0000-0000F4060000}"/>
    <cellStyle name="40% - Accent4 8 2" xfId="1783" xr:uid="{00000000-0005-0000-0000-0000F5060000}"/>
    <cellStyle name="40% - Accent4 8 2 2" xfId="1784" xr:uid="{00000000-0005-0000-0000-0000F6060000}"/>
    <cellStyle name="40% - Accent4 8 2 2 2" xfId="1785" xr:uid="{00000000-0005-0000-0000-0000F7060000}"/>
    <cellStyle name="40% - Accent4 8 2 2 2 2" xfId="1786" xr:uid="{00000000-0005-0000-0000-0000F8060000}"/>
    <cellStyle name="40% - Accent4 8 2 2 3" xfId="1787" xr:uid="{00000000-0005-0000-0000-0000F9060000}"/>
    <cellStyle name="40% - Accent4 8 2 2 4" xfId="1788" xr:uid="{00000000-0005-0000-0000-0000FA060000}"/>
    <cellStyle name="40% - Accent4 8 2 3" xfId="1789" xr:uid="{00000000-0005-0000-0000-0000FB060000}"/>
    <cellStyle name="40% - Accent4 8 2 3 2" xfId="1790" xr:uid="{00000000-0005-0000-0000-0000FC060000}"/>
    <cellStyle name="40% - Accent4 8 2 4" xfId="1791" xr:uid="{00000000-0005-0000-0000-0000FD060000}"/>
    <cellStyle name="40% - Accent4 8 2 5" xfId="1792" xr:uid="{00000000-0005-0000-0000-0000FE060000}"/>
    <cellStyle name="40% - Accent4 8 3" xfId="1793" xr:uid="{00000000-0005-0000-0000-0000FF060000}"/>
    <cellStyle name="40% - Accent4 8 3 2" xfId="1794" xr:uid="{00000000-0005-0000-0000-000000070000}"/>
    <cellStyle name="40% - Accent4 8 3 2 2" xfId="1795" xr:uid="{00000000-0005-0000-0000-000001070000}"/>
    <cellStyle name="40% - Accent4 8 3 3" xfId="1796" xr:uid="{00000000-0005-0000-0000-000002070000}"/>
    <cellStyle name="40% - Accent4 8 3 4" xfId="1797" xr:uid="{00000000-0005-0000-0000-000003070000}"/>
    <cellStyle name="40% - Accent4 8 4" xfId="1798" xr:uid="{00000000-0005-0000-0000-000004070000}"/>
    <cellStyle name="40% - Accent4 8 4 2" xfId="1799" xr:uid="{00000000-0005-0000-0000-000005070000}"/>
    <cellStyle name="40% - Accent4 8 5" xfId="1800" xr:uid="{00000000-0005-0000-0000-000006070000}"/>
    <cellStyle name="40% - Accent4 8 6" xfId="1801" xr:uid="{00000000-0005-0000-0000-000007070000}"/>
    <cellStyle name="40% - Accent4 9" xfId="1802" xr:uid="{00000000-0005-0000-0000-000008070000}"/>
    <cellStyle name="40% - Accent4 9 2" xfId="1803" xr:uid="{00000000-0005-0000-0000-000009070000}"/>
    <cellStyle name="40% - Accent4 9 2 2" xfId="1804" xr:uid="{00000000-0005-0000-0000-00000A070000}"/>
    <cellStyle name="40% - Accent4 9 2 2 2" xfId="1805" xr:uid="{00000000-0005-0000-0000-00000B070000}"/>
    <cellStyle name="40% - Accent4 9 2 2 2 2" xfId="1806" xr:uid="{00000000-0005-0000-0000-00000C070000}"/>
    <cellStyle name="40% - Accent4 9 2 2 3" xfId="1807" xr:uid="{00000000-0005-0000-0000-00000D070000}"/>
    <cellStyle name="40% - Accent4 9 2 2 4" xfId="1808" xr:uid="{00000000-0005-0000-0000-00000E070000}"/>
    <cellStyle name="40% - Accent4 9 2 3" xfId="1809" xr:uid="{00000000-0005-0000-0000-00000F070000}"/>
    <cellStyle name="40% - Accent4 9 2 3 2" xfId="1810" xr:uid="{00000000-0005-0000-0000-000010070000}"/>
    <cellStyle name="40% - Accent4 9 2 4" xfId="1811" xr:uid="{00000000-0005-0000-0000-000011070000}"/>
    <cellStyle name="40% - Accent4 9 2 5" xfId="1812" xr:uid="{00000000-0005-0000-0000-000012070000}"/>
    <cellStyle name="40% - Accent4 9 3" xfId="1813" xr:uid="{00000000-0005-0000-0000-000013070000}"/>
    <cellStyle name="40% - Accent4 9 3 2" xfId="1814" xr:uid="{00000000-0005-0000-0000-000014070000}"/>
    <cellStyle name="40% - Accent4 9 3 2 2" xfId="1815" xr:uid="{00000000-0005-0000-0000-000015070000}"/>
    <cellStyle name="40% - Accent4 9 3 3" xfId="1816" xr:uid="{00000000-0005-0000-0000-000016070000}"/>
    <cellStyle name="40% - Accent4 9 3 4" xfId="1817" xr:uid="{00000000-0005-0000-0000-000017070000}"/>
    <cellStyle name="40% - Accent4 9 4" xfId="1818" xr:uid="{00000000-0005-0000-0000-000018070000}"/>
    <cellStyle name="40% - Accent4 9 4 2" xfId="1819" xr:uid="{00000000-0005-0000-0000-000019070000}"/>
    <cellStyle name="40% - Accent4 9 5" xfId="1820" xr:uid="{00000000-0005-0000-0000-00001A070000}"/>
    <cellStyle name="40% - Accent4 9 6" xfId="1821" xr:uid="{00000000-0005-0000-0000-00001B070000}"/>
    <cellStyle name="40% - Accent5 10" xfId="1822" xr:uid="{00000000-0005-0000-0000-00001C070000}"/>
    <cellStyle name="40% - Accent5 10 2" xfId="1823" xr:uid="{00000000-0005-0000-0000-00001D070000}"/>
    <cellStyle name="40% - Accent5 10 2 2" xfId="1824" xr:uid="{00000000-0005-0000-0000-00001E070000}"/>
    <cellStyle name="40% - Accent5 10 2 2 2" xfId="1825" xr:uid="{00000000-0005-0000-0000-00001F070000}"/>
    <cellStyle name="40% - Accent5 10 2 3" xfId="1826" xr:uid="{00000000-0005-0000-0000-000020070000}"/>
    <cellStyle name="40% - Accent5 10 2 4" xfId="1827" xr:uid="{00000000-0005-0000-0000-000021070000}"/>
    <cellStyle name="40% - Accent5 10 3" xfId="1828" xr:uid="{00000000-0005-0000-0000-000022070000}"/>
    <cellStyle name="40% - Accent5 10 3 2" xfId="1829" xr:uid="{00000000-0005-0000-0000-000023070000}"/>
    <cellStyle name="40% - Accent5 10 4" xfId="1830" xr:uid="{00000000-0005-0000-0000-000024070000}"/>
    <cellStyle name="40% - Accent5 10 5" xfId="1831" xr:uid="{00000000-0005-0000-0000-000025070000}"/>
    <cellStyle name="40% - Accent5 11" xfId="1832" xr:uid="{00000000-0005-0000-0000-000026070000}"/>
    <cellStyle name="40% - Accent5 11 2" xfId="1833" xr:uid="{00000000-0005-0000-0000-000027070000}"/>
    <cellStyle name="40% - Accent5 11 2 2" xfId="1834" xr:uid="{00000000-0005-0000-0000-000028070000}"/>
    <cellStyle name="40% - Accent5 11 2 2 2" xfId="1835" xr:uid="{00000000-0005-0000-0000-000029070000}"/>
    <cellStyle name="40% - Accent5 11 2 3" xfId="1836" xr:uid="{00000000-0005-0000-0000-00002A070000}"/>
    <cellStyle name="40% - Accent5 11 2 4" xfId="1837" xr:uid="{00000000-0005-0000-0000-00002B070000}"/>
    <cellStyle name="40% - Accent5 11 3" xfId="1838" xr:uid="{00000000-0005-0000-0000-00002C070000}"/>
    <cellStyle name="40% - Accent5 11 3 2" xfId="1839" xr:uid="{00000000-0005-0000-0000-00002D070000}"/>
    <cellStyle name="40% - Accent5 11 4" xfId="1840" xr:uid="{00000000-0005-0000-0000-00002E070000}"/>
    <cellStyle name="40% - Accent5 11 5" xfId="1841" xr:uid="{00000000-0005-0000-0000-00002F070000}"/>
    <cellStyle name="40% - Accent5 12" xfId="1842" xr:uid="{00000000-0005-0000-0000-000030070000}"/>
    <cellStyle name="40% - Accent5 12 2" xfId="1843" xr:uid="{00000000-0005-0000-0000-000031070000}"/>
    <cellStyle name="40% - Accent5 12 2 2" xfId="1844" xr:uid="{00000000-0005-0000-0000-000032070000}"/>
    <cellStyle name="40% - Accent5 12 3" xfId="1845" xr:uid="{00000000-0005-0000-0000-000033070000}"/>
    <cellStyle name="40% - Accent5 12 4" xfId="1846" xr:uid="{00000000-0005-0000-0000-000034070000}"/>
    <cellStyle name="40% - Accent5 13" xfId="1847" xr:uid="{00000000-0005-0000-0000-000035070000}"/>
    <cellStyle name="40% - Accent5 13 2" xfId="1848" xr:uid="{00000000-0005-0000-0000-000036070000}"/>
    <cellStyle name="40% - Accent5 14" xfId="1849" xr:uid="{00000000-0005-0000-0000-000037070000}"/>
    <cellStyle name="40% - Accent5 14 2" xfId="1850" xr:uid="{00000000-0005-0000-0000-000038070000}"/>
    <cellStyle name="40% - Accent5 15" xfId="1851" xr:uid="{00000000-0005-0000-0000-000039070000}"/>
    <cellStyle name="40% - Accent5 16" xfId="1852" xr:uid="{00000000-0005-0000-0000-00003A070000}"/>
    <cellStyle name="40% - Accent5 2" xfId="1853" xr:uid="{00000000-0005-0000-0000-00003B070000}"/>
    <cellStyle name="40% - Accent5 2 2" xfId="1854" xr:uid="{00000000-0005-0000-0000-00003C070000}"/>
    <cellStyle name="40% - Accent5 2 2 2" xfId="1855" xr:uid="{00000000-0005-0000-0000-00003D070000}"/>
    <cellStyle name="40% - Accent5 2 2 2 2" xfId="1856" xr:uid="{00000000-0005-0000-0000-00003E070000}"/>
    <cellStyle name="40% - Accent5 2 2 2 2 2" xfId="1857" xr:uid="{00000000-0005-0000-0000-00003F070000}"/>
    <cellStyle name="40% - Accent5 2 2 2 2 2 2" xfId="1858" xr:uid="{00000000-0005-0000-0000-000040070000}"/>
    <cellStyle name="40% - Accent5 2 2 2 2 3" xfId="1859" xr:uid="{00000000-0005-0000-0000-000041070000}"/>
    <cellStyle name="40% - Accent5 2 2 2 2 4" xfId="1860" xr:uid="{00000000-0005-0000-0000-000042070000}"/>
    <cellStyle name="40% - Accent5 2 2 2 3" xfId="1861" xr:uid="{00000000-0005-0000-0000-000043070000}"/>
    <cellStyle name="40% - Accent5 2 2 2 3 2" xfId="1862" xr:uid="{00000000-0005-0000-0000-000044070000}"/>
    <cellStyle name="40% - Accent5 2 2 2 4" xfId="1863" xr:uid="{00000000-0005-0000-0000-000045070000}"/>
    <cellStyle name="40% - Accent5 2 2 2 5" xfId="1864" xr:uid="{00000000-0005-0000-0000-000046070000}"/>
    <cellStyle name="40% - Accent5 2 2 3" xfId="1865" xr:uid="{00000000-0005-0000-0000-000047070000}"/>
    <cellStyle name="40% - Accent5 2 2 3 2" xfId="1866" xr:uid="{00000000-0005-0000-0000-000048070000}"/>
    <cellStyle name="40% - Accent5 2 2 3 2 2" xfId="1867" xr:uid="{00000000-0005-0000-0000-000049070000}"/>
    <cellStyle name="40% - Accent5 2 2 3 3" xfId="1868" xr:uid="{00000000-0005-0000-0000-00004A070000}"/>
    <cellStyle name="40% - Accent5 2 2 3 4" xfId="1869" xr:uid="{00000000-0005-0000-0000-00004B070000}"/>
    <cellStyle name="40% - Accent5 2 2 4" xfId="1870" xr:uid="{00000000-0005-0000-0000-00004C070000}"/>
    <cellStyle name="40% - Accent5 2 2 4 2" xfId="1871" xr:uid="{00000000-0005-0000-0000-00004D070000}"/>
    <cellStyle name="40% - Accent5 2 2 5" xfId="1872" xr:uid="{00000000-0005-0000-0000-00004E070000}"/>
    <cellStyle name="40% - Accent5 2 2 5 2" xfId="1873" xr:uid="{00000000-0005-0000-0000-00004F070000}"/>
    <cellStyle name="40% - Accent5 2 2 6" xfId="1874" xr:uid="{00000000-0005-0000-0000-000050070000}"/>
    <cellStyle name="40% - Accent5 2 2 7" xfId="1875" xr:uid="{00000000-0005-0000-0000-000051070000}"/>
    <cellStyle name="40% - Accent5 2 3" xfId="1876" xr:uid="{00000000-0005-0000-0000-000052070000}"/>
    <cellStyle name="40% - Accent5 2 3 2" xfId="1877" xr:uid="{00000000-0005-0000-0000-000053070000}"/>
    <cellStyle name="40% - Accent5 2 3 2 2" xfId="1878" xr:uid="{00000000-0005-0000-0000-000054070000}"/>
    <cellStyle name="40% - Accent5 2 3 2 2 2" xfId="1879" xr:uid="{00000000-0005-0000-0000-000055070000}"/>
    <cellStyle name="40% - Accent5 2 3 2 3" xfId="1880" xr:uid="{00000000-0005-0000-0000-000056070000}"/>
    <cellStyle name="40% - Accent5 2 3 2 4" xfId="1881" xr:uid="{00000000-0005-0000-0000-000057070000}"/>
    <cellStyle name="40% - Accent5 2 3 3" xfId="1882" xr:uid="{00000000-0005-0000-0000-000058070000}"/>
    <cellStyle name="40% - Accent5 2 3 3 2" xfId="1883" xr:uid="{00000000-0005-0000-0000-000059070000}"/>
    <cellStyle name="40% - Accent5 2 3 4" xfId="1884" xr:uid="{00000000-0005-0000-0000-00005A070000}"/>
    <cellStyle name="40% - Accent5 2 3 5" xfId="1885" xr:uid="{00000000-0005-0000-0000-00005B070000}"/>
    <cellStyle name="40% - Accent5 2 4" xfId="1886" xr:uid="{00000000-0005-0000-0000-00005C070000}"/>
    <cellStyle name="40% - Accent5 2 4 2" xfId="1887" xr:uid="{00000000-0005-0000-0000-00005D070000}"/>
    <cellStyle name="40% - Accent5 2 4 2 2" xfId="1888" xr:uid="{00000000-0005-0000-0000-00005E070000}"/>
    <cellStyle name="40% - Accent5 2 4 3" xfId="1889" xr:uid="{00000000-0005-0000-0000-00005F070000}"/>
    <cellStyle name="40% - Accent5 2 4 4" xfId="1890" xr:uid="{00000000-0005-0000-0000-000060070000}"/>
    <cellStyle name="40% - Accent5 2 5" xfId="1891" xr:uid="{00000000-0005-0000-0000-000061070000}"/>
    <cellStyle name="40% - Accent5 2 5 2" xfId="1892" xr:uid="{00000000-0005-0000-0000-000062070000}"/>
    <cellStyle name="40% - Accent5 2 6" xfId="1893" xr:uid="{00000000-0005-0000-0000-000063070000}"/>
    <cellStyle name="40% - Accent5 2 6 2" xfId="1894" xr:uid="{00000000-0005-0000-0000-000064070000}"/>
    <cellStyle name="40% - Accent5 2 7" xfId="1895" xr:uid="{00000000-0005-0000-0000-000065070000}"/>
    <cellStyle name="40% - Accent5 2 8" xfId="1896" xr:uid="{00000000-0005-0000-0000-000066070000}"/>
    <cellStyle name="40% - Accent5 3" xfId="1897" xr:uid="{00000000-0005-0000-0000-000067070000}"/>
    <cellStyle name="40% - Accent5 3 2" xfId="1898" xr:uid="{00000000-0005-0000-0000-000068070000}"/>
    <cellStyle name="40% - Accent5 4" xfId="1899" xr:uid="{00000000-0005-0000-0000-000069070000}"/>
    <cellStyle name="40% - Accent5 4 2" xfId="1900" xr:uid="{00000000-0005-0000-0000-00006A070000}"/>
    <cellStyle name="40% - Accent5 4 2 2" xfId="1901" xr:uid="{00000000-0005-0000-0000-00006B070000}"/>
    <cellStyle name="40% - Accent5 4 2 2 2" xfId="1902" xr:uid="{00000000-0005-0000-0000-00006C070000}"/>
    <cellStyle name="40% - Accent5 4 2 2 2 2" xfId="1903" xr:uid="{00000000-0005-0000-0000-00006D070000}"/>
    <cellStyle name="40% - Accent5 4 2 2 3" xfId="1904" xr:uid="{00000000-0005-0000-0000-00006E070000}"/>
    <cellStyle name="40% - Accent5 4 2 2 4" xfId="1905" xr:uid="{00000000-0005-0000-0000-00006F070000}"/>
    <cellStyle name="40% - Accent5 4 2 3" xfId="1906" xr:uid="{00000000-0005-0000-0000-000070070000}"/>
    <cellStyle name="40% - Accent5 4 2 3 2" xfId="1907" xr:uid="{00000000-0005-0000-0000-000071070000}"/>
    <cellStyle name="40% - Accent5 4 2 4" xfId="1908" xr:uid="{00000000-0005-0000-0000-000072070000}"/>
    <cellStyle name="40% - Accent5 4 2 5" xfId="1909" xr:uid="{00000000-0005-0000-0000-000073070000}"/>
    <cellStyle name="40% - Accent5 4 3" xfId="1910" xr:uid="{00000000-0005-0000-0000-000074070000}"/>
    <cellStyle name="40% - Accent5 4 3 2" xfId="1911" xr:uid="{00000000-0005-0000-0000-000075070000}"/>
    <cellStyle name="40% - Accent5 4 3 2 2" xfId="1912" xr:uid="{00000000-0005-0000-0000-000076070000}"/>
    <cellStyle name="40% - Accent5 4 3 3" xfId="1913" xr:uid="{00000000-0005-0000-0000-000077070000}"/>
    <cellStyle name="40% - Accent5 4 3 4" xfId="1914" xr:uid="{00000000-0005-0000-0000-000078070000}"/>
    <cellStyle name="40% - Accent5 4 4" xfId="1915" xr:uid="{00000000-0005-0000-0000-000079070000}"/>
    <cellStyle name="40% - Accent5 4 4 2" xfId="1916" xr:uid="{00000000-0005-0000-0000-00007A070000}"/>
    <cellStyle name="40% - Accent5 4 5" xfId="1917" xr:uid="{00000000-0005-0000-0000-00007B070000}"/>
    <cellStyle name="40% - Accent5 4 5 2" xfId="1918" xr:uid="{00000000-0005-0000-0000-00007C070000}"/>
    <cellStyle name="40% - Accent5 4 6" xfId="1919" xr:uid="{00000000-0005-0000-0000-00007D070000}"/>
    <cellStyle name="40% - Accent5 4 7" xfId="1920" xr:uid="{00000000-0005-0000-0000-00007E070000}"/>
    <cellStyle name="40% - Accent5 5" xfId="1921" xr:uid="{00000000-0005-0000-0000-00007F070000}"/>
    <cellStyle name="40% - Accent5 5 2" xfId="1922" xr:uid="{00000000-0005-0000-0000-000080070000}"/>
    <cellStyle name="40% - Accent5 5 2 2" xfId="1923" xr:uid="{00000000-0005-0000-0000-000081070000}"/>
    <cellStyle name="40% - Accent5 5 2 2 2" xfId="1924" xr:uid="{00000000-0005-0000-0000-000082070000}"/>
    <cellStyle name="40% - Accent5 5 2 2 2 2" xfId="1925" xr:uid="{00000000-0005-0000-0000-000083070000}"/>
    <cellStyle name="40% - Accent5 5 2 2 3" xfId="1926" xr:uid="{00000000-0005-0000-0000-000084070000}"/>
    <cellStyle name="40% - Accent5 5 2 2 4" xfId="1927" xr:uid="{00000000-0005-0000-0000-000085070000}"/>
    <cellStyle name="40% - Accent5 5 2 3" xfId="1928" xr:uid="{00000000-0005-0000-0000-000086070000}"/>
    <cellStyle name="40% - Accent5 5 2 3 2" xfId="1929" xr:uid="{00000000-0005-0000-0000-000087070000}"/>
    <cellStyle name="40% - Accent5 5 2 4" xfId="1930" xr:uid="{00000000-0005-0000-0000-000088070000}"/>
    <cellStyle name="40% - Accent5 5 2 5" xfId="1931" xr:uid="{00000000-0005-0000-0000-000089070000}"/>
    <cellStyle name="40% - Accent5 5 3" xfId="1932" xr:uid="{00000000-0005-0000-0000-00008A070000}"/>
    <cellStyle name="40% - Accent5 5 3 2" xfId="1933" xr:uid="{00000000-0005-0000-0000-00008B070000}"/>
    <cellStyle name="40% - Accent5 5 3 2 2" xfId="1934" xr:uid="{00000000-0005-0000-0000-00008C070000}"/>
    <cellStyle name="40% - Accent5 5 3 3" xfId="1935" xr:uid="{00000000-0005-0000-0000-00008D070000}"/>
    <cellStyle name="40% - Accent5 5 3 4" xfId="1936" xr:uid="{00000000-0005-0000-0000-00008E070000}"/>
    <cellStyle name="40% - Accent5 5 4" xfId="1937" xr:uid="{00000000-0005-0000-0000-00008F070000}"/>
    <cellStyle name="40% - Accent5 5 4 2" xfId="1938" xr:uid="{00000000-0005-0000-0000-000090070000}"/>
    <cellStyle name="40% - Accent5 5 5" xfId="1939" xr:uid="{00000000-0005-0000-0000-000091070000}"/>
    <cellStyle name="40% - Accent5 5 5 2" xfId="1940" xr:uid="{00000000-0005-0000-0000-000092070000}"/>
    <cellStyle name="40% - Accent5 5 6" xfId="1941" xr:uid="{00000000-0005-0000-0000-000093070000}"/>
    <cellStyle name="40% - Accent5 5 7" xfId="1942" xr:uid="{00000000-0005-0000-0000-000094070000}"/>
    <cellStyle name="40% - Accent5 6" xfId="1943" xr:uid="{00000000-0005-0000-0000-000095070000}"/>
    <cellStyle name="40% - Accent5 7" xfId="1944" xr:uid="{00000000-0005-0000-0000-000096070000}"/>
    <cellStyle name="40% - Accent5 7 2" xfId="1945" xr:uid="{00000000-0005-0000-0000-000097070000}"/>
    <cellStyle name="40% - Accent5 7 2 2" xfId="1946" xr:uid="{00000000-0005-0000-0000-000098070000}"/>
    <cellStyle name="40% - Accent5 7 2 2 2" xfId="1947" xr:uid="{00000000-0005-0000-0000-000099070000}"/>
    <cellStyle name="40% - Accent5 7 2 2 2 2" xfId="1948" xr:uid="{00000000-0005-0000-0000-00009A070000}"/>
    <cellStyle name="40% - Accent5 7 2 2 3" xfId="1949" xr:uid="{00000000-0005-0000-0000-00009B070000}"/>
    <cellStyle name="40% - Accent5 7 2 2 4" xfId="1950" xr:uid="{00000000-0005-0000-0000-00009C070000}"/>
    <cellStyle name="40% - Accent5 7 2 3" xfId="1951" xr:uid="{00000000-0005-0000-0000-00009D070000}"/>
    <cellStyle name="40% - Accent5 7 2 3 2" xfId="1952" xr:uid="{00000000-0005-0000-0000-00009E070000}"/>
    <cellStyle name="40% - Accent5 7 2 4" xfId="1953" xr:uid="{00000000-0005-0000-0000-00009F070000}"/>
    <cellStyle name="40% - Accent5 7 2 5" xfId="1954" xr:uid="{00000000-0005-0000-0000-0000A0070000}"/>
    <cellStyle name="40% - Accent5 7 3" xfId="1955" xr:uid="{00000000-0005-0000-0000-0000A1070000}"/>
    <cellStyle name="40% - Accent5 7 3 2" xfId="1956" xr:uid="{00000000-0005-0000-0000-0000A2070000}"/>
    <cellStyle name="40% - Accent5 7 3 2 2" xfId="1957" xr:uid="{00000000-0005-0000-0000-0000A3070000}"/>
    <cellStyle name="40% - Accent5 7 3 3" xfId="1958" xr:uid="{00000000-0005-0000-0000-0000A4070000}"/>
    <cellStyle name="40% - Accent5 7 3 4" xfId="1959" xr:uid="{00000000-0005-0000-0000-0000A5070000}"/>
    <cellStyle name="40% - Accent5 7 4" xfId="1960" xr:uid="{00000000-0005-0000-0000-0000A6070000}"/>
    <cellStyle name="40% - Accent5 7 4 2" xfId="1961" xr:uid="{00000000-0005-0000-0000-0000A7070000}"/>
    <cellStyle name="40% - Accent5 7 5" xfId="1962" xr:uid="{00000000-0005-0000-0000-0000A8070000}"/>
    <cellStyle name="40% - Accent5 7 6" xfId="1963" xr:uid="{00000000-0005-0000-0000-0000A9070000}"/>
    <cellStyle name="40% - Accent5 8" xfId="1964" xr:uid="{00000000-0005-0000-0000-0000AA070000}"/>
    <cellStyle name="40% - Accent5 8 2" xfId="1965" xr:uid="{00000000-0005-0000-0000-0000AB070000}"/>
    <cellStyle name="40% - Accent5 8 2 2" xfId="1966" xr:uid="{00000000-0005-0000-0000-0000AC070000}"/>
    <cellStyle name="40% - Accent5 8 2 2 2" xfId="1967" xr:uid="{00000000-0005-0000-0000-0000AD070000}"/>
    <cellStyle name="40% - Accent5 8 2 2 2 2" xfId="1968" xr:uid="{00000000-0005-0000-0000-0000AE070000}"/>
    <cellStyle name="40% - Accent5 8 2 2 3" xfId="1969" xr:uid="{00000000-0005-0000-0000-0000AF070000}"/>
    <cellStyle name="40% - Accent5 8 2 2 4" xfId="1970" xr:uid="{00000000-0005-0000-0000-0000B0070000}"/>
    <cellStyle name="40% - Accent5 8 2 3" xfId="1971" xr:uid="{00000000-0005-0000-0000-0000B1070000}"/>
    <cellStyle name="40% - Accent5 8 2 3 2" xfId="1972" xr:uid="{00000000-0005-0000-0000-0000B2070000}"/>
    <cellStyle name="40% - Accent5 8 2 4" xfId="1973" xr:uid="{00000000-0005-0000-0000-0000B3070000}"/>
    <cellStyle name="40% - Accent5 8 2 5" xfId="1974" xr:uid="{00000000-0005-0000-0000-0000B4070000}"/>
    <cellStyle name="40% - Accent5 8 3" xfId="1975" xr:uid="{00000000-0005-0000-0000-0000B5070000}"/>
    <cellStyle name="40% - Accent5 8 3 2" xfId="1976" xr:uid="{00000000-0005-0000-0000-0000B6070000}"/>
    <cellStyle name="40% - Accent5 8 3 2 2" xfId="1977" xr:uid="{00000000-0005-0000-0000-0000B7070000}"/>
    <cellStyle name="40% - Accent5 8 3 3" xfId="1978" xr:uid="{00000000-0005-0000-0000-0000B8070000}"/>
    <cellStyle name="40% - Accent5 8 3 4" xfId="1979" xr:uid="{00000000-0005-0000-0000-0000B9070000}"/>
    <cellStyle name="40% - Accent5 8 4" xfId="1980" xr:uid="{00000000-0005-0000-0000-0000BA070000}"/>
    <cellStyle name="40% - Accent5 8 4 2" xfId="1981" xr:uid="{00000000-0005-0000-0000-0000BB070000}"/>
    <cellStyle name="40% - Accent5 8 5" xfId="1982" xr:uid="{00000000-0005-0000-0000-0000BC070000}"/>
    <cellStyle name="40% - Accent5 8 6" xfId="1983" xr:uid="{00000000-0005-0000-0000-0000BD070000}"/>
    <cellStyle name="40% - Accent5 9" xfId="1984" xr:uid="{00000000-0005-0000-0000-0000BE070000}"/>
    <cellStyle name="40% - Accent5 9 2" xfId="1985" xr:uid="{00000000-0005-0000-0000-0000BF070000}"/>
    <cellStyle name="40% - Accent5 9 2 2" xfId="1986" xr:uid="{00000000-0005-0000-0000-0000C0070000}"/>
    <cellStyle name="40% - Accent5 9 2 2 2" xfId="1987" xr:uid="{00000000-0005-0000-0000-0000C1070000}"/>
    <cellStyle name="40% - Accent5 9 2 2 2 2" xfId="1988" xr:uid="{00000000-0005-0000-0000-0000C2070000}"/>
    <cellStyle name="40% - Accent5 9 2 2 3" xfId="1989" xr:uid="{00000000-0005-0000-0000-0000C3070000}"/>
    <cellStyle name="40% - Accent5 9 2 2 4" xfId="1990" xr:uid="{00000000-0005-0000-0000-0000C4070000}"/>
    <cellStyle name="40% - Accent5 9 2 3" xfId="1991" xr:uid="{00000000-0005-0000-0000-0000C5070000}"/>
    <cellStyle name="40% - Accent5 9 2 3 2" xfId="1992" xr:uid="{00000000-0005-0000-0000-0000C6070000}"/>
    <cellStyle name="40% - Accent5 9 2 4" xfId="1993" xr:uid="{00000000-0005-0000-0000-0000C7070000}"/>
    <cellStyle name="40% - Accent5 9 2 5" xfId="1994" xr:uid="{00000000-0005-0000-0000-0000C8070000}"/>
    <cellStyle name="40% - Accent5 9 3" xfId="1995" xr:uid="{00000000-0005-0000-0000-0000C9070000}"/>
    <cellStyle name="40% - Accent5 9 3 2" xfId="1996" xr:uid="{00000000-0005-0000-0000-0000CA070000}"/>
    <cellStyle name="40% - Accent5 9 3 2 2" xfId="1997" xr:uid="{00000000-0005-0000-0000-0000CB070000}"/>
    <cellStyle name="40% - Accent5 9 3 3" xfId="1998" xr:uid="{00000000-0005-0000-0000-0000CC070000}"/>
    <cellStyle name="40% - Accent5 9 3 4" xfId="1999" xr:uid="{00000000-0005-0000-0000-0000CD070000}"/>
    <cellStyle name="40% - Accent5 9 4" xfId="2000" xr:uid="{00000000-0005-0000-0000-0000CE070000}"/>
    <cellStyle name="40% - Accent5 9 4 2" xfId="2001" xr:uid="{00000000-0005-0000-0000-0000CF070000}"/>
    <cellStyle name="40% - Accent5 9 5" xfId="2002" xr:uid="{00000000-0005-0000-0000-0000D0070000}"/>
    <cellStyle name="40% - Accent5 9 6" xfId="2003" xr:uid="{00000000-0005-0000-0000-0000D1070000}"/>
    <cellStyle name="40% - Accent6 10" xfId="2004" xr:uid="{00000000-0005-0000-0000-0000D2070000}"/>
    <cellStyle name="40% - Accent6 10 2" xfId="2005" xr:uid="{00000000-0005-0000-0000-0000D3070000}"/>
    <cellStyle name="40% - Accent6 10 2 2" xfId="2006" xr:uid="{00000000-0005-0000-0000-0000D4070000}"/>
    <cellStyle name="40% - Accent6 10 2 2 2" xfId="2007" xr:uid="{00000000-0005-0000-0000-0000D5070000}"/>
    <cellStyle name="40% - Accent6 10 2 3" xfId="2008" xr:uid="{00000000-0005-0000-0000-0000D6070000}"/>
    <cellStyle name="40% - Accent6 10 2 4" xfId="2009" xr:uid="{00000000-0005-0000-0000-0000D7070000}"/>
    <cellStyle name="40% - Accent6 10 3" xfId="2010" xr:uid="{00000000-0005-0000-0000-0000D8070000}"/>
    <cellStyle name="40% - Accent6 10 3 2" xfId="2011" xr:uid="{00000000-0005-0000-0000-0000D9070000}"/>
    <cellStyle name="40% - Accent6 10 4" xfId="2012" xr:uid="{00000000-0005-0000-0000-0000DA070000}"/>
    <cellStyle name="40% - Accent6 10 5" xfId="2013" xr:uid="{00000000-0005-0000-0000-0000DB070000}"/>
    <cellStyle name="40% - Accent6 11" xfId="2014" xr:uid="{00000000-0005-0000-0000-0000DC070000}"/>
    <cellStyle name="40% - Accent6 11 2" xfId="2015" xr:uid="{00000000-0005-0000-0000-0000DD070000}"/>
    <cellStyle name="40% - Accent6 11 2 2" xfId="2016" xr:uid="{00000000-0005-0000-0000-0000DE070000}"/>
    <cellStyle name="40% - Accent6 11 2 2 2" xfId="2017" xr:uid="{00000000-0005-0000-0000-0000DF070000}"/>
    <cellStyle name="40% - Accent6 11 2 3" xfId="2018" xr:uid="{00000000-0005-0000-0000-0000E0070000}"/>
    <cellStyle name="40% - Accent6 11 2 4" xfId="2019" xr:uid="{00000000-0005-0000-0000-0000E1070000}"/>
    <cellStyle name="40% - Accent6 11 3" xfId="2020" xr:uid="{00000000-0005-0000-0000-0000E2070000}"/>
    <cellStyle name="40% - Accent6 11 3 2" xfId="2021" xr:uid="{00000000-0005-0000-0000-0000E3070000}"/>
    <cellStyle name="40% - Accent6 11 4" xfId="2022" xr:uid="{00000000-0005-0000-0000-0000E4070000}"/>
    <cellStyle name="40% - Accent6 11 5" xfId="2023" xr:uid="{00000000-0005-0000-0000-0000E5070000}"/>
    <cellStyle name="40% - Accent6 12" xfId="2024" xr:uid="{00000000-0005-0000-0000-0000E6070000}"/>
    <cellStyle name="40% - Accent6 12 2" xfId="2025" xr:uid="{00000000-0005-0000-0000-0000E7070000}"/>
    <cellStyle name="40% - Accent6 12 2 2" xfId="2026" xr:uid="{00000000-0005-0000-0000-0000E8070000}"/>
    <cellStyle name="40% - Accent6 12 3" xfId="2027" xr:uid="{00000000-0005-0000-0000-0000E9070000}"/>
    <cellStyle name="40% - Accent6 12 4" xfId="2028" xr:uid="{00000000-0005-0000-0000-0000EA070000}"/>
    <cellStyle name="40% - Accent6 13" xfId="2029" xr:uid="{00000000-0005-0000-0000-0000EB070000}"/>
    <cellStyle name="40% - Accent6 13 2" xfId="2030" xr:uid="{00000000-0005-0000-0000-0000EC070000}"/>
    <cellStyle name="40% - Accent6 14" xfId="2031" xr:uid="{00000000-0005-0000-0000-0000ED070000}"/>
    <cellStyle name="40% - Accent6 14 2" xfId="2032" xr:uid="{00000000-0005-0000-0000-0000EE070000}"/>
    <cellStyle name="40% - Accent6 15" xfId="2033" xr:uid="{00000000-0005-0000-0000-0000EF070000}"/>
    <cellStyle name="40% - Accent6 16" xfId="2034" xr:uid="{00000000-0005-0000-0000-0000F0070000}"/>
    <cellStyle name="40% - Accent6 2" xfId="2035" xr:uid="{00000000-0005-0000-0000-0000F1070000}"/>
    <cellStyle name="40% - Accent6 2 2" xfId="2036" xr:uid="{00000000-0005-0000-0000-0000F2070000}"/>
    <cellStyle name="40% - Accent6 2 2 2" xfId="2037" xr:uid="{00000000-0005-0000-0000-0000F3070000}"/>
    <cellStyle name="40% - Accent6 2 2 2 2" xfId="2038" xr:uid="{00000000-0005-0000-0000-0000F4070000}"/>
    <cellStyle name="40% - Accent6 2 2 2 2 2" xfId="2039" xr:uid="{00000000-0005-0000-0000-0000F5070000}"/>
    <cellStyle name="40% - Accent6 2 2 2 2 2 2" xfId="2040" xr:uid="{00000000-0005-0000-0000-0000F6070000}"/>
    <cellStyle name="40% - Accent6 2 2 2 2 3" xfId="2041" xr:uid="{00000000-0005-0000-0000-0000F7070000}"/>
    <cellStyle name="40% - Accent6 2 2 2 2 4" xfId="2042" xr:uid="{00000000-0005-0000-0000-0000F8070000}"/>
    <cellStyle name="40% - Accent6 2 2 2 3" xfId="2043" xr:uid="{00000000-0005-0000-0000-0000F9070000}"/>
    <cellStyle name="40% - Accent6 2 2 2 3 2" xfId="2044" xr:uid="{00000000-0005-0000-0000-0000FA070000}"/>
    <cellStyle name="40% - Accent6 2 2 2 4" xfId="2045" xr:uid="{00000000-0005-0000-0000-0000FB070000}"/>
    <cellStyle name="40% - Accent6 2 2 2 5" xfId="2046" xr:uid="{00000000-0005-0000-0000-0000FC070000}"/>
    <cellStyle name="40% - Accent6 2 2 3" xfId="2047" xr:uid="{00000000-0005-0000-0000-0000FD070000}"/>
    <cellStyle name="40% - Accent6 2 2 3 2" xfId="2048" xr:uid="{00000000-0005-0000-0000-0000FE070000}"/>
    <cellStyle name="40% - Accent6 2 2 3 2 2" xfId="2049" xr:uid="{00000000-0005-0000-0000-0000FF070000}"/>
    <cellStyle name="40% - Accent6 2 2 3 3" xfId="2050" xr:uid="{00000000-0005-0000-0000-000000080000}"/>
    <cellStyle name="40% - Accent6 2 2 3 4" xfId="2051" xr:uid="{00000000-0005-0000-0000-000001080000}"/>
    <cellStyle name="40% - Accent6 2 2 4" xfId="2052" xr:uid="{00000000-0005-0000-0000-000002080000}"/>
    <cellStyle name="40% - Accent6 2 2 4 2" xfId="2053" xr:uid="{00000000-0005-0000-0000-000003080000}"/>
    <cellStyle name="40% - Accent6 2 2 5" xfId="2054" xr:uid="{00000000-0005-0000-0000-000004080000}"/>
    <cellStyle name="40% - Accent6 2 2 5 2" xfId="2055" xr:uid="{00000000-0005-0000-0000-000005080000}"/>
    <cellStyle name="40% - Accent6 2 2 6" xfId="2056" xr:uid="{00000000-0005-0000-0000-000006080000}"/>
    <cellStyle name="40% - Accent6 2 2 7" xfId="2057" xr:uid="{00000000-0005-0000-0000-000007080000}"/>
    <cellStyle name="40% - Accent6 2 3" xfId="2058" xr:uid="{00000000-0005-0000-0000-000008080000}"/>
    <cellStyle name="40% - Accent6 2 3 2" xfId="2059" xr:uid="{00000000-0005-0000-0000-000009080000}"/>
    <cellStyle name="40% - Accent6 2 3 2 2" xfId="2060" xr:uid="{00000000-0005-0000-0000-00000A080000}"/>
    <cellStyle name="40% - Accent6 2 3 2 2 2" xfId="2061" xr:uid="{00000000-0005-0000-0000-00000B080000}"/>
    <cellStyle name="40% - Accent6 2 3 2 3" xfId="2062" xr:uid="{00000000-0005-0000-0000-00000C080000}"/>
    <cellStyle name="40% - Accent6 2 3 2 4" xfId="2063" xr:uid="{00000000-0005-0000-0000-00000D080000}"/>
    <cellStyle name="40% - Accent6 2 3 3" xfId="2064" xr:uid="{00000000-0005-0000-0000-00000E080000}"/>
    <cellStyle name="40% - Accent6 2 3 3 2" xfId="2065" xr:uid="{00000000-0005-0000-0000-00000F080000}"/>
    <cellStyle name="40% - Accent6 2 3 4" xfId="2066" xr:uid="{00000000-0005-0000-0000-000010080000}"/>
    <cellStyle name="40% - Accent6 2 3 5" xfId="2067" xr:uid="{00000000-0005-0000-0000-000011080000}"/>
    <cellStyle name="40% - Accent6 2 4" xfId="2068" xr:uid="{00000000-0005-0000-0000-000012080000}"/>
    <cellStyle name="40% - Accent6 2 4 2" xfId="2069" xr:uid="{00000000-0005-0000-0000-000013080000}"/>
    <cellStyle name="40% - Accent6 2 4 2 2" xfId="2070" xr:uid="{00000000-0005-0000-0000-000014080000}"/>
    <cellStyle name="40% - Accent6 2 4 3" xfId="2071" xr:uid="{00000000-0005-0000-0000-000015080000}"/>
    <cellStyle name="40% - Accent6 2 4 4" xfId="2072" xr:uid="{00000000-0005-0000-0000-000016080000}"/>
    <cellStyle name="40% - Accent6 2 5" xfId="2073" xr:uid="{00000000-0005-0000-0000-000017080000}"/>
    <cellStyle name="40% - Accent6 2 5 2" xfId="2074" xr:uid="{00000000-0005-0000-0000-000018080000}"/>
    <cellStyle name="40% - Accent6 2 6" xfId="2075" xr:uid="{00000000-0005-0000-0000-000019080000}"/>
    <cellStyle name="40% - Accent6 2 6 2" xfId="2076" xr:uid="{00000000-0005-0000-0000-00001A080000}"/>
    <cellStyle name="40% - Accent6 2 7" xfId="2077" xr:uid="{00000000-0005-0000-0000-00001B080000}"/>
    <cellStyle name="40% - Accent6 2 8" xfId="2078" xr:uid="{00000000-0005-0000-0000-00001C080000}"/>
    <cellStyle name="40% - Accent6 3" xfId="2079" xr:uid="{00000000-0005-0000-0000-00001D080000}"/>
    <cellStyle name="40% - Accent6 3 2" xfId="2080" xr:uid="{00000000-0005-0000-0000-00001E080000}"/>
    <cellStyle name="40% - Accent6 4" xfId="2081" xr:uid="{00000000-0005-0000-0000-00001F080000}"/>
    <cellStyle name="40% - Accent6 4 2" xfId="2082" xr:uid="{00000000-0005-0000-0000-000020080000}"/>
    <cellStyle name="40% - Accent6 4 2 2" xfId="2083" xr:uid="{00000000-0005-0000-0000-000021080000}"/>
    <cellStyle name="40% - Accent6 4 2 2 2" xfId="2084" xr:uid="{00000000-0005-0000-0000-000022080000}"/>
    <cellStyle name="40% - Accent6 4 2 2 2 2" xfId="2085" xr:uid="{00000000-0005-0000-0000-000023080000}"/>
    <cellStyle name="40% - Accent6 4 2 2 3" xfId="2086" xr:uid="{00000000-0005-0000-0000-000024080000}"/>
    <cellStyle name="40% - Accent6 4 2 2 4" xfId="2087" xr:uid="{00000000-0005-0000-0000-000025080000}"/>
    <cellStyle name="40% - Accent6 4 2 3" xfId="2088" xr:uid="{00000000-0005-0000-0000-000026080000}"/>
    <cellStyle name="40% - Accent6 4 2 3 2" xfId="2089" xr:uid="{00000000-0005-0000-0000-000027080000}"/>
    <cellStyle name="40% - Accent6 4 2 4" xfId="2090" xr:uid="{00000000-0005-0000-0000-000028080000}"/>
    <cellStyle name="40% - Accent6 4 2 5" xfId="2091" xr:uid="{00000000-0005-0000-0000-000029080000}"/>
    <cellStyle name="40% - Accent6 4 3" xfId="2092" xr:uid="{00000000-0005-0000-0000-00002A080000}"/>
    <cellStyle name="40% - Accent6 4 3 2" xfId="2093" xr:uid="{00000000-0005-0000-0000-00002B080000}"/>
    <cellStyle name="40% - Accent6 4 3 2 2" xfId="2094" xr:uid="{00000000-0005-0000-0000-00002C080000}"/>
    <cellStyle name="40% - Accent6 4 3 3" xfId="2095" xr:uid="{00000000-0005-0000-0000-00002D080000}"/>
    <cellStyle name="40% - Accent6 4 3 4" xfId="2096" xr:uid="{00000000-0005-0000-0000-00002E080000}"/>
    <cellStyle name="40% - Accent6 4 4" xfId="2097" xr:uid="{00000000-0005-0000-0000-00002F080000}"/>
    <cellStyle name="40% - Accent6 4 4 2" xfId="2098" xr:uid="{00000000-0005-0000-0000-000030080000}"/>
    <cellStyle name="40% - Accent6 4 5" xfId="2099" xr:uid="{00000000-0005-0000-0000-000031080000}"/>
    <cellStyle name="40% - Accent6 4 5 2" xfId="2100" xr:uid="{00000000-0005-0000-0000-000032080000}"/>
    <cellStyle name="40% - Accent6 4 6" xfId="2101" xr:uid="{00000000-0005-0000-0000-000033080000}"/>
    <cellStyle name="40% - Accent6 4 7" xfId="2102" xr:uid="{00000000-0005-0000-0000-000034080000}"/>
    <cellStyle name="40% - Accent6 5" xfId="2103" xr:uid="{00000000-0005-0000-0000-000035080000}"/>
    <cellStyle name="40% - Accent6 5 2" xfId="2104" xr:uid="{00000000-0005-0000-0000-000036080000}"/>
    <cellStyle name="40% - Accent6 5 2 2" xfId="2105" xr:uid="{00000000-0005-0000-0000-000037080000}"/>
    <cellStyle name="40% - Accent6 5 2 2 2" xfId="2106" xr:uid="{00000000-0005-0000-0000-000038080000}"/>
    <cellStyle name="40% - Accent6 5 2 2 2 2" xfId="2107" xr:uid="{00000000-0005-0000-0000-000039080000}"/>
    <cellStyle name="40% - Accent6 5 2 2 3" xfId="2108" xr:uid="{00000000-0005-0000-0000-00003A080000}"/>
    <cellStyle name="40% - Accent6 5 2 2 4" xfId="2109" xr:uid="{00000000-0005-0000-0000-00003B080000}"/>
    <cellStyle name="40% - Accent6 5 2 3" xfId="2110" xr:uid="{00000000-0005-0000-0000-00003C080000}"/>
    <cellStyle name="40% - Accent6 5 2 3 2" xfId="2111" xr:uid="{00000000-0005-0000-0000-00003D080000}"/>
    <cellStyle name="40% - Accent6 5 2 4" xfId="2112" xr:uid="{00000000-0005-0000-0000-00003E080000}"/>
    <cellStyle name="40% - Accent6 5 2 5" xfId="2113" xr:uid="{00000000-0005-0000-0000-00003F080000}"/>
    <cellStyle name="40% - Accent6 5 3" xfId="2114" xr:uid="{00000000-0005-0000-0000-000040080000}"/>
    <cellStyle name="40% - Accent6 5 3 2" xfId="2115" xr:uid="{00000000-0005-0000-0000-000041080000}"/>
    <cellStyle name="40% - Accent6 5 3 2 2" xfId="2116" xr:uid="{00000000-0005-0000-0000-000042080000}"/>
    <cellStyle name="40% - Accent6 5 3 3" xfId="2117" xr:uid="{00000000-0005-0000-0000-000043080000}"/>
    <cellStyle name="40% - Accent6 5 3 4" xfId="2118" xr:uid="{00000000-0005-0000-0000-000044080000}"/>
    <cellStyle name="40% - Accent6 5 4" xfId="2119" xr:uid="{00000000-0005-0000-0000-000045080000}"/>
    <cellStyle name="40% - Accent6 5 4 2" xfId="2120" xr:uid="{00000000-0005-0000-0000-000046080000}"/>
    <cellStyle name="40% - Accent6 5 5" xfId="2121" xr:uid="{00000000-0005-0000-0000-000047080000}"/>
    <cellStyle name="40% - Accent6 5 5 2" xfId="2122" xr:uid="{00000000-0005-0000-0000-000048080000}"/>
    <cellStyle name="40% - Accent6 5 6" xfId="2123" xr:uid="{00000000-0005-0000-0000-000049080000}"/>
    <cellStyle name="40% - Accent6 5 7" xfId="2124" xr:uid="{00000000-0005-0000-0000-00004A080000}"/>
    <cellStyle name="40% - Accent6 6" xfId="2125" xr:uid="{00000000-0005-0000-0000-00004B080000}"/>
    <cellStyle name="40% - Accent6 7" xfId="2126" xr:uid="{00000000-0005-0000-0000-00004C080000}"/>
    <cellStyle name="40% - Accent6 7 2" xfId="2127" xr:uid="{00000000-0005-0000-0000-00004D080000}"/>
    <cellStyle name="40% - Accent6 7 2 2" xfId="2128" xr:uid="{00000000-0005-0000-0000-00004E080000}"/>
    <cellStyle name="40% - Accent6 7 2 2 2" xfId="2129" xr:uid="{00000000-0005-0000-0000-00004F080000}"/>
    <cellStyle name="40% - Accent6 7 2 2 2 2" xfId="2130" xr:uid="{00000000-0005-0000-0000-000050080000}"/>
    <cellStyle name="40% - Accent6 7 2 2 3" xfId="2131" xr:uid="{00000000-0005-0000-0000-000051080000}"/>
    <cellStyle name="40% - Accent6 7 2 2 4" xfId="2132" xr:uid="{00000000-0005-0000-0000-000052080000}"/>
    <cellStyle name="40% - Accent6 7 2 3" xfId="2133" xr:uid="{00000000-0005-0000-0000-000053080000}"/>
    <cellStyle name="40% - Accent6 7 2 3 2" xfId="2134" xr:uid="{00000000-0005-0000-0000-000054080000}"/>
    <cellStyle name="40% - Accent6 7 2 4" xfId="2135" xr:uid="{00000000-0005-0000-0000-000055080000}"/>
    <cellStyle name="40% - Accent6 7 2 5" xfId="2136" xr:uid="{00000000-0005-0000-0000-000056080000}"/>
    <cellStyle name="40% - Accent6 7 3" xfId="2137" xr:uid="{00000000-0005-0000-0000-000057080000}"/>
    <cellStyle name="40% - Accent6 7 3 2" xfId="2138" xr:uid="{00000000-0005-0000-0000-000058080000}"/>
    <cellStyle name="40% - Accent6 7 3 2 2" xfId="2139" xr:uid="{00000000-0005-0000-0000-000059080000}"/>
    <cellStyle name="40% - Accent6 7 3 3" xfId="2140" xr:uid="{00000000-0005-0000-0000-00005A080000}"/>
    <cellStyle name="40% - Accent6 7 3 4" xfId="2141" xr:uid="{00000000-0005-0000-0000-00005B080000}"/>
    <cellStyle name="40% - Accent6 7 4" xfId="2142" xr:uid="{00000000-0005-0000-0000-00005C080000}"/>
    <cellStyle name="40% - Accent6 7 4 2" xfId="2143" xr:uid="{00000000-0005-0000-0000-00005D080000}"/>
    <cellStyle name="40% - Accent6 7 5" xfId="2144" xr:uid="{00000000-0005-0000-0000-00005E080000}"/>
    <cellStyle name="40% - Accent6 7 6" xfId="2145" xr:uid="{00000000-0005-0000-0000-00005F080000}"/>
    <cellStyle name="40% - Accent6 8" xfId="2146" xr:uid="{00000000-0005-0000-0000-000060080000}"/>
    <cellStyle name="40% - Accent6 8 2" xfId="2147" xr:uid="{00000000-0005-0000-0000-000061080000}"/>
    <cellStyle name="40% - Accent6 8 2 2" xfId="2148" xr:uid="{00000000-0005-0000-0000-000062080000}"/>
    <cellStyle name="40% - Accent6 8 2 2 2" xfId="2149" xr:uid="{00000000-0005-0000-0000-000063080000}"/>
    <cellStyle name="40% - Accent6 8 2 2 2 2" xfId="2150" xr:uid="{00000000-0005-0000-0000-000064080000}"/>
    <cellStyle name="40% - Accent6 8 2 2 3" xfId="2151" xr:uid="{00000000-0005-0000-0000-000065080000}"/>
    <cellStyle name="40% - Accent6 8 2 2 4" xfId="2152" xr:uid="{00000000-0005-0000-0000-000066080000}"/>
    <cellStyle name="40% - Accent6 8 2 3" xfId="2153" xr:uid="{00000000-0005-0000-0000-000067080000}"/>
    <cellStyle name="40% - Accent6 8 2 3 2" xfId="2154" xr:uid="{00000000-0005-0000-0000-000068080000}"/>
    <cellStyle name="40% - Accent6 8 2 4" xfId="2155" xr:uid="{00000000-0005-0000-0000-000069080000}"/>
    <cellStyle name="40% - Accent6 8 2 5" xfId="2156" xr:uid="{00000000-0005-0000-0000-00006A080000}"/>
    <cellStyle name="40% - Accent6 8 3" xfId="2157" xr:uid="{00000000-0005-0000-0000-00006B080000}"/>
    <cellStyle name="40% - Accent6 8 3 2" xfId="2158" xr:uid="{00000000-0005-0000-0000-00006C080000}"/>
    <cellStyle name="40% - Accent6 8 3 2 2" xfId="2159" xr:uid="{00000000-0005-0000-0000-00006D080000}"/>
    <cellStyle name="40% - Accent6 8 3 3" xfId="2160" xr:uid="{00000000-0005-0000-0000-00006E080000}"/>
    <cellStyle name="40% - Accent6 8 3 4" xfId="2161" xr:uid="{00000000-0005-0000-0000-00006F080000}"/>
    <cellStyle name="40% - Accent6 8 4" xfId="2162" xr:uid="{00000000-0005-0000-0000-000070080000}"/>
    <cellStyle name="40% - Accent6 8 4 2" xfId="2163" xr:uid="{00000000-0005-0000-0000-000071080000}"/>
    <cellStyle name="40% - Accent6 8 5" xfId="2164" xr:uid="{00000000-0005-0000-0000-000072080000}"/>
    <cellStyle name="40% - Accent6 8 6" xfId="2165" xr:uid="{00000000-0005-0000-0000-000073080000}"/>
    <cellStyle name="40% - Accent6 9" xfId="2166" xr:uid="{00000000-0005-0000-0000-000074080000}"/>
    <cellStyle name="40% - Accent6 9 2" xfId="2167" xr:uid="{00000000-0005-0000-0000-000075080000}"/>
    <cellStyle name="40% - Accent6 9 2 2" xfId="2168" xr:uid="{00000000-0005-0000-0000-000076080000}"/>
    <cellStyle name="40% - Accent6 9 2 2 2" xfId="2169" xr:uid="{00000000-0005-0000-0000-000077080000}"/>
    <cellStyle name="40% - Accent6 9 2 2 2 2" xfId="2170" xr:uid="{00000000-0005-0000-0000-000078080000}"/>
    <cellStyle name="40% - Accent6 9 2 2 3" xfId="2171" xr:uid="{00000000-0005-0000-0000-000079080000}"/>
    <cellStyle name="40% - Accent6 9 2 2 4" xfId="2172" xr:uid="{00000000-0005-0000-0000-00007A080000}"/>
    <cellStyle name="40% - Accent6 9 2 3" xfId="2173" xr:uid="{00000000-0005-0000-0000-00007B080000}"/>
    <cellStyle name="40% - Accent6 9 2 3 2" xfId="2174" xr:uid="{00000000-0005-0000-0000-00007C080000}"/>
    <cellStyle name="40% - Accent6 9 2 4" xfId="2175" xr:uid="{00000000-0005-0000-0000-00007D080000}"/>
    <cellStyle name="40% - Accent6 9 2 5" xfId="2176" xr:uid="{00000000-0005-0000-0000-00007E080000}"/>
    <cellStyle name="40% - Accent6 9 3" xfId="2177" xr:uid="{00000000-0005-0000-0000-00007F080000}"/>
    <cellStyle name="40% - Accent6 9 3 2" xfId="2178" xr:uid="{00000000-0005-0000-0000-000080080000}"/>
    <cellStyle name="40% - Accent6 9 3 2 2" xfId="2179" xr:uid="{00000000-0005-0000-0000-000081080000}"/>
    <cellStyle name="40% - Accent6 9 3 3" xfId="2180" xr:uid="{00000000-0005-0000-0000-000082080000}"/>
    <cellStyle name="40% - Accent6 9 3 4" xfId="2181" xr:uid="{00000000-0005-0000-0000-000083080000}"/>
    <cellStyle name="40% - Accent6 9 4" xfId="2182" xr:uid="{00000000-0005-0000-0000-000084080000}"/>
    <cellStyle name="40% - Accent6 9 4 2" xfId="2183" xr:uid="{00000000-0005-0000-0000-000085080000}"/>
    <cellStyle name="40% - Accent6 9 5" xfId="2184" xr:uid="{00000000-0005-0000-0000-000086080000}"/>
    <cellStyle name="40% - Accent6 9 6" xfId="2185" xr:uid="{00000000-0005-0000-0000-000087080000}"/>
    <cellStyle name="60% - Accent1 2" xfId="2186" xr:uid="{00000000-0005-0000-0000-000088080000}"/>
    <cellStyle name="60% - Accent1 3" xfId="2187" xr:uid="{00000000-0005-0000-0000-000089080000}"/>
    <cellStyle name="60% - Accent2 2" xfId="2188" xr:uid="{00000000-0005-0000-0000-00008A080000}"/>
    <cellStyle name="60% - Accent2 3" xfId="2189" xr:uid="{00000000-0005-0000-0000-00008B080000}"/>
    <cellStyle name="60% - Accent3 2" xfId="2190" xr:uid="{00000000-0005-0000-0000-00008C080000}"/>
    <cellStyle name="60% - Accent3 3" xfId="2191" xr:uid="{00000000-0005-0000-0000-00008D080000}"/>
    <cellStyle name="60% - Accent4 2" xfId="2192" xr:uid="{00000000-0005-0000-0000-00008E080000}"/>
    <cellStyle name="60% - Accent4 3" xfId="2193" xr:uid="{00000000-0005-0000-0000-00008F080000}"/>
    <cellStyle name="60% - Accent5 2" xfId="2194" xr:uid="{00000000-0005-0000-0000-000090080000}"/>
    <cellStyle name="60% - Accent5 3" xfId="2195" xr:uid="{00000000-0005-0000-0000-000091080000}"/>
    <cellStyle name="60% - Accent6 2" xfId="2196" xr:uid="{00000000-0005-0000-0000-000092080000}"/>
    <cellStyle name="60% - Accent6 3" xfId="2197" xr:uid="{00000000-0005-0000-0000-000093080000}"/>
    <cellStyle name="Accent1 2" xfId="2198" xr:uid="{00000000-0005-0000-0000-000094080000}"/>
    <cellStyle name="Accent1 3" xfId="2199" xr:uid="{00000000-0005-0000-0000-000095080000}"/>
    <cellStyle name="Accent2 2" xfId="2200" xr:uid="{00000000-0005-0000-0000-000096080000}"/>
    <cellStyle name="Accent2 3" xfId="2201" xr:uid="{00000000-0005-0000-0000-000097080000}"/>
    <cellStyle name="Accent3 2" xfId="2202" xr:uid="{00000000-0005-0000-0000-000098080000}"/>
    <cellStyle name="Accent3 3" xfId="2203" xr:uid="{00000000-0005-0000-0000-000099080000}"/>
    <cellStyle name="Accent4 2" xfId="2204" xr:uid="{00000000-0005-0000-0000-00009A080000}"/>
    <cellStyle name="Accent4 3" xfId="2205" xr:uid="{00000000-0005-0000-0000-00009B080000}"/>
    <cellStyle name="Accent5 2" xfId="2206" xr:uid="{00000000-0005-0000-0000-00009C080000}"/>
    <cellStyle name="Accent5 3" xfId="2207" xr:uid="{00000000-0005-0000-0000-00009D080000}"/>
    <cellStyle name="Accent6 2" xfId="2208" xr:uid="{00000000-0005-0000-0000-00009E080000}"/>
    <cellStyle name="Accent6 3" xfId="2209" xr:uid="{00000000-0005-0000-0000-00009F080000}"/>
    <cellStyle name="Bad 2" xfId="2210" xr:uid="{00000000-0005-0000-0000-0000A0080000}"/>
    <cellStyle name="Bad 3" xfId="2211" xr:uid="{00000000-0005-0000-0000-0000A1080000}"/>
    <cellStyle name="Calculation 2" xfId="2212" xr:uid="{00000000-0005-0000-0000-0000A2080000}"/>
    <cellStyle name="Calculation 3" xfId="2213" xr:uid="{00000000-0005-0000-0000-0000A3080000}"/>
    <cellStyle name="Check Cell 2" xfId="2214" xr:uid="{00000000-0005-0000-0000-0000A4080000}"/>
    <cellStyle name="Check Cell 3" xfId="2215" xr:uid="{00000000-0005-0000-0000-0000A5080000}"/>
    <cellStyle name="Comma" xfId="1" builtinId="3"/>
    <cellStyle name="Comma [0] 2" xfId="2216" xr:uid="{00000000-0005-0000-0000-0000A7080000}"/>
    <cellStyle name="Comma [0] 2 2" xfId="2217" xr:uid="{00000000-0005-0000-0000-0000A8080000}"/>
    <cellStyle name="Comma 10" xfId="2218" xr:uid="{00000000-0005-0000-0000-0000A9080000}"/>
    <cellStyle name="Comma 10 2" xfId="2219" xr:uid="{00000000-0005-0000-0000-0000AA080000}"/>
    <cellStyle name="Comma 11" xfId="2220" xr:uid="{00000000-0005-0000-0000-0000AB080000}"/>
    <cellStyle name="Comma 12" xfId="2221" xr:uid="{00000000-0005-0000-0000-0000AC080000}"/>
    <cellStyle name="Comma 12 2" xfId="2222" xr:uid="{00000000-0005-0000-0000-0000AD080000}"/>
    <cellStyle name="Comma 12 2 2" xfId="2223" xr:uid="{00000000-0005-0000-0000-0000AE080000}"/>
    <cellStyle name="Comma 12 2 2 2" xfId="2224" xr:uid="{00000000-0005-0000-0000-0000AF080000}"/>
    <cellStyle name="Comma 12 2 2 2 2" xfId="2225" xr:uid="{00000000-0005-0000-0000-0000B0080000}"/>
    <cellStyle name="Comma 12 2 2 3" xfId="2226" xr:uid="{00000000-0005-0000-0000-0000B1080000}"/>
    <cellStyle name="Comma 12 2 2 4" xfId="2227" xr:uid="{00000000-0005-0000-0000-0000B2080000}"/>
    <cellStyle name="Comma 12 2 3" xfId="2228" xr:uid="{00000000-0005-0000-0000-0000B3080000}"/>
    <cellStyle name="Comma 12 2 3 2" xfId="2229" xr:uid="{00000000-0005-0000-0000-0000B4080000}"/>
    <cellStyle name="Comma 12 2 4" xfId="2230" xr:uid="{00000000-0005-0000-0000-0000B5080000}"/>
    <cellStyle name="Comma 12 2 5" xfId="2231" xr:uid="{00000000-0005-0000-0000-0000B6080000}"/>
    <cellStyle name="Comma 12 3" xfId="2232" xr:uid="{00000000-0005-0000-0000-0000B7080000}"/>
    <cellStyle name="Comma 12 3 2" xfId="2233" xr:uid="{00000000-0005-0000-0000-0000B8080000}"/>
    <cellStyle name="Comma 12 3 2 2" xfId="2234" xr:uid="{00000000-0005-0000-0000-0000B9080000}"/>
    <cellStyle name="Comma 12 3 3" xfId="2235" xr:uid="{00000000-0005-0000-0000-0000BA080000}"/>
    <cellStyle name="Comma 12 3 4" xfId="2236" xr:uid="{00000000-0005-0000-0000-0000BB080000}"/>
    <cellStyle name="Comma 12 4" xfId="2237" xr:uid="{00000000-0005-0000-0000-0000BC080000}"/>
    <cellStyle name="Comma 12 4 2" xfId="2238" xr:uid="{00000000-0005-0000-0000-0000BD080000}"/>
    <cellStyle name="Comma 12 5" xfId="2239" xr:uid="{00000000-0005-0000-0000-0000BE080000}"/>
    <cellStyle name="Comma 12 6" xfId="2240" xr:uid="{00000000-0005-0000-0000-0000BF080000}"/>
    <cellStyle name="Comma 13" xfId="2241" xr:uid="{00000000-0005-0000-0000-0000C0080000}"/>
    <cellStyle name="Comma 14" xfId="2242" xr:uid="{00000000-0005-0000-0000-0000C1080000}"/>
    <cellStyle name="Comma 15" xfId="2243" xr:uid="{00000000-0005-0000-0000-0000C2080000}"/>
    <cellStyle name="Comma 16" xfId="2244" xr:uid="{00000000-0005-0000-0000-0000C3080000}"/>
    <cellStyle name="Comma 17" xfId="2245" xr:uid="{00000000-0005-0000-0000-0000C4080000}"/>
    <cellStyle name="Comma 18" xfId="2246" xr:uid="{00000000-0005-0000-0000-0000C5080000}"/>
    <cellStyle name="Comma 19" xfId="2247" xr:uid="{00000000-0005-0000-0000-0000C6080000}"/>
    <cellStyle name="Comma 2" xfId="2248" xr:uid="{00000000-0005-0000-0000-0000C7080000}"/>
    <cellStyle name="Comma 2 2" xfId="2249" xr:uid="{00000000-0005-0000-0000-0000C8080000}"/>
    <cellStyle name="Comma 2 2 2" xfId="2250" xr:uid="{00000000-0005-0000-0000-0000C9080000}"/>
    <cellStyle name="Comma 2 3" xfId="2251" xr:uid="{00000000-0005-0000-0000-0000CA080000}"/>
    <cellStyle name="Comma 2 3 2" xfId="2979" xr:uid="{00000000-0005-0000-0000-0000CB080000}"/>
    <cellStyle name="Comma 2 4" xfId="2252" xr:uid="{00000000-0005-0000-0000-0000CC080000}"/>
    <cellStyle name="Comma 20" xfId="2253" xr:uid="{00000000-0005-0000-0000-0000CD080000}"/>
    <cellStyle name="Comma 20 2" xfId="2254" xr:uid="{00000000-0005-0000-0000-0000CE080000}"/>
    <cellStyle name="Comma 20 2 2" xfId="2255" xr:uid="{00000000-0005-0000-0000-0000CF080000}"/>
    <cellStyle name="Comma 20 3" xfId="2256" xr:uid="{00000000-0005-0000-0000-0000D0080000}"/>
    <cellStyle name="Comma 20 4" xfId="2257" xr:uid="{00000000-0005-0000-0000-0000D1080000}"/>
    <cellStyle name="Comma 21" xfId="2258" xr:uid="{00000000-0005-0000-0000-0000D2080000}"/>
    <cellStyle name="Comma 21 2" xfId="2259" xr:uid="{00000000-0005-0000-0000-0000D3080000}"/>
    <cellStyle name="Comma 21 2 2" xfId="2260" xr:uid="{00000000-0005-0000-0000-0000D4080000}"/>
    <cellStyle name="Comma 21 3" xfId="2261" xr:uid="{00000000-0005-0000-0000-0000D5080000}"/>
    <cellStyle name="Comma 21 4" xfId="2262" xr:uid="{00000000-0005-0000-0000-0000D6080000}"/>
    <cellStyle name="Comma 22" xfId="2263" xr:uid="{00000000-0005-0000-0000-0000D7080000}"/>
    <cellStyle name="Comma 23" xfId="2264" xr:uid="{00000000-0005-0000-0000-0000D8080000}"/>
    <cellStyle name="Comma 24" xfId="2265" xr:uid="{00000000-0005-0000-0000-0000D9080000}"/>
    <cellStyle name="Comma 24 2" xfId="2266" xr:uid="{00000000-0005-0000-0000-0000DA080000}"/>
    <cellStyle name="Comma 25" xfId="2267" xr:uid="{00000000-0005-0000-0000-0000DB080000}"/>
    <cellStyle name="Comma 25 2" xfId="2268" xr:uid="{00000000-0005-0000-0000-0000DC080000}"/>
    <cellStyle name="Comma 26" xfId="2269" xr:uid="{00000000-0005-0000-0000-0000DD080000}"/>
    <cellStyle name="Comma 26 2" xfId="2270" xr:uid="{00000000-0005-0000-0000-0000DE080000}"/>
    <cellStyle name="Comma 27" xfId="2271" xr:uid="{00000000-0005-0000-0000-0000DF080000}"/>
    <cellStyle name="Comma 27 2" xfId="2272" xr:uid="{00000000-0005-0000-0000-0000E0080000}"/>
    <cellStyle name="Comma 28" xfId="2273" xr:uid="{00000000-0005-0000-0000-0000E1080000}"/>
    <cellStyle name="Comma 28 2" xfId="2274" xr:uid="{00000000-0005-0000-0000-0000E2080000}"/>
    <cellStyle name="Comma 29" xfId="2275" xr:uid="{00000000-0005-0000-0000-0000E3080000}"/>
    <cellStyle name="Comma 29 2" xfId="2276" xr:uid="{00000000-0005-0000-0000-0000E4080000}"/>
    <cellStyle name="Comma 3" xfId="2277" xr:uid="{00000000-0005-0000-0000-0000E5080000}"/>
    <cellStyle name="Comma 3 2" xfId="2278" xr:uid="{00000000-0005-0000-0000-0000E6080000}"/>
    <cellStyle name="Comma 3 2 2" xfId="2279" xr:uid="{00000000-0005-0000-0000-0000E7080000}"/>
    <cellStyle name="Comma 3 3" xfId="2280" xr:uid="{00000000-0005-0000-0000-0000E8080000}"/>
    <cellStyle name="Comma 30" xfId="2281" xr:uid="{00000000-0005-0000-0000-0000E9080000}"/>
    <cellStyle name="Comma 30 2" xfId="2282" xr:uid="{00000000-0005-0000-0000-0000EA080000}"/>
    <cellStyle name="Comma 31" xfId="2283" xr:uid="{00000000-0005-0000-0000-0000EB080000}"/>
    <cellStyle name="Comma 31 2" xfId="2284" xr:uid="{00000000-0005-0000-0000-0000EC080000}"/>
    <cellStyle name="Comma 32" xfId="2285" xr:uid="{00000000-0005-0000-0000-0000ED080000}"/>
    <cellStyle name="Comma 32 2" xfId="2286" xr:uid="{00000000-0005-0000-0000-0000EE080000}"/>
    <cellStyle name="Comma 33" xfId="2287" xr:uid="{00000000-0005-0000-0000-0000EF080000}"/>
    <cellStyle name="Comma 33 2" xfId="2288" xr:uid="{00000000-0005-0000-0000-0000F0080000}"/>
    <cellStyle name="Comma 34" xfId="2289" xr:uid="{00000000-0005-0000-0000-0000F1080000}"/>
    <cellStyle name="Comma 34 2" xfId="2290" xr:uid="{00000000-0005-0000-0000-0000F2080000}"/>
    <cellStyle name="Comma 35" xfId="2291" xr:uid="{00000000-0005-0000-0000-0000F3080000}"/>
    <cellStyle name="Comma 35 2" xfId="2292" xr:uid="{00000000-0005-0000-0000-0000F4080000}"/>
    <cellStyle name="Comma 36" xfId="2293" xr:uid="{00000000-0005-0000-0000-0000F5080000}"/>
    <cellStyle name="Comma 36 2" xfId="2294" xr:uid="{00000000-0005-0000-0000-0000F6080000}"/>
    <cellStyle name="Comma 37" xfId="2295" xr:uid="{00000000-0005-0000-0000-0000F7080000}"/>
    <cellStyle name="Comma 37 2" xfId="2296" xr:uid="{00000000-0005-0000-0000-0000F8080000}"/>
    <cellStyle name="Comma 38" xfId="2297" xr:uid="{00000000-0005-0000-0000-0000F9080000}"/>
    <cellStyle name="Comma 38 2" xfId="2298" xr:uid="{00000000-0005-0000-0000-0000FA080000}"/>
    <cellStyle name="Comma 39" xfId="2299" xr:uid="{00000000-0005-0000-0000-0000FB080000}"/>
    <cellStyle name="Comma 39 2" xfId="2300" xr:uid="{00000000-0005-0000-0000-0000FC080000}"/>
    <cellStyle name="Comma 4" xfId="2301" xr:uid="{00000000-0005-0000-0000-0000FD080000}"/>
    <cellStyle name="Comma 4 2" xfId="2302" xr:uid="{00000000-0005-0000-0000-0000FE080000}"/>
    <cellStyle name="Comma 40" xfId="2303" xr:uid="{00000000-0005-0000-0000-0000FF080000}"/>
    <cellStyle name="Comma 40 2" xfId="2304" xr:uid="{00000000-0005-0000-0000-000000090000}"/>
    <cellStyle name="Comma 41" xfId="2305" xr:uid="{00000000-0005-0000-0000-000001090000}"/>
    <cellStyle name="Comma 41 2" xfId="2306" xr:uid="{00000000-0005-0000-0000-000002090000}"/>
    <cellStyle name="Comma 42" xfId="2307" xr:uid="{00000000-0005-0000-0000-000003090000}"/>
    <cellStyle name="Comma 42 2" xfId="2308" xr:uid="{00000000-0005-0000-0000-000004090000}"/>
    <cellStyle name="Comma 43" xfId="2309" xr:uid="{00000000-0005-0000-0000-000005090000}"/>
    <cellStyle name="Comma 43 2" xfId="2310" xr:uid="{00000000-0005-0000-0000-000006090000}"/>
    <cellStyle name="Comma 44" xfId="2311" xr:uid="{00000000-0005-0000-0000-000007090000}"/>
    <cellStyle name="Comma 44 2" xfId="2312" xr:uid="{00000000-0005-0000-0000-000008090000}"/>
    <cellStyle name="Comma 45" xfId="2313" xr:uid="{00000000-0005-0000-0000-000009090000}"/>
    <cellStyle name="Comma 45 2" xfId="2314" xr:uid="{00000000-0005-0000-0000-00000A090000}"/>
    <cellStyle name="Comma 46" xfId="2315" xr:uid="{00000000-0005-0000-0000-00000B090000}"/>
    <cellStyle name="Comma 46 2" xfId="2316" xr:uid="{00000000-0005-0000-0000-00000C090000}"/>
    <cellStyle name="Comma 47" xfId="2317" xr:uid="{00000000-0005-0000-0000-00000D090000}"/>
    <cellStyle name="Comma 47 2" xfId="2318" xr:uid="{00000000-0005-0000-0000-00000E090000}"/>
    <cellStyle name="Comma 48" xfId="2319" xr:uid="{00000000-0005-0000-0000-00000F090000}"/>
    <cellStyle name="Comma 49" xfId="2320" xr:uid="{00000000-0005-0000-0000-000010090000}"/>
    <cellStyle name="Comma 5" xfId="2321" xr:uid="{00000000-0005-0000-0000-000011090000}"/>
    <cellStyle name="Comma 5 2" xfId="2322" xr:uid="{00000000-0005-0000-0000-000012090000}"/>
    <cellStyle name="Comma 5 2 2" xfId="2323" xr:uid="{00000000-0005-0000-0000-000013090000}"/>
    <cellStyle name="Comma 5 2 2 2" xfId="2324" xr:uid="{00000000-0005-0000-0000-000014090000}"/>
    <cellStyle name="Comma 5 2 2 2 2" xfId="2325" xr:uid="{00000000-0005-0000-0000-000015090000}"/>
    <cellStyle name="Comma 5 2 2 2 2 2" xfId="2326" xr:uid="{00000000-0005-0000-0000-000016090000}"/>
    <cellStyle name="Comma 5 2 2 2 3" xfId="2327" xr:uid="{00000000-0005-0000-0000-000017090000}"/>
    <cellStyle name="Comma 5 2 2 2 4" xfId="2328" xr:uid="{00000000-0005-0000-0000-000018090000}"/>
    <cellStyle name="Comma 5 2 2 3" xfId="2329" xr:uid="{00000000-0005-0000-0000-000019090000}"/>
    <cellStyle name="Comma 5 2 2 3 2" xfId="2330" xr:uid="{00000000-0005-0000-0000-00001A090000}"/>
    <cellStyle name="Comma 5 2 2 4" xfId="2331" xr:uid="{00000000-0005-0000-0000-00001B090000}"/>
    <cellStyle name="Comma 5 2 2 5" xfId="2332" xr:uid="{00000000-0005-0000-0000-00001C090000}"/>
    <cellStyle name="Comma 5 2 3" xfId="2333" xr:uid="{00000000-0005-0000-0000-00001D090000}"/>
    <cellStyle name="Comma 5 2 3 2" xfId="2334" xr:uid="{00000000-0005-0000-0000-00001E090000}"/>
    <cellStyle name="Comma 5 2 3 2 2" xfId="2335" xr:uid="{00000000-0005-0000-0000-00001F090000}"/>
    <cellStyle name="Comma 5 2 3 3" xfId="2336" xr:uid="{00000000-0005-0000-0000-000020090000}"/>
    <cellStyle name="Comma 5 2 3 4" xfId="2337" xr:uid="{00000000-0005-0000-0000-000021090000}"/>
    <cellStyle name="Comma 5 2 4" xfId="2338" xr:uid="{00000000-0005-0000-0000-000022090000}"/>
    <cellStyle name="Comma 5 2 4 2" xfId="2339" xr:uid="{00000000-0005-0000-0000-000023090000}"/>
    <cellStyle name="Comma 5 2 5" xfId="2340" xr:uid="{00000000-0005-0000-0000-000024090000}"/>
    <cellStyle name="Comma 5 2 5 2" xfId="2341" xr:uid="{00000000-0005-0000-0000-000025090000}"/>
    <cellStyle name="Comma 5 2 6" xfId="2342" xr:uid="{00000000-0005-0000-0000-000026090000}"/>
    <cellStyle name="Comma 5 2 6 2" xfId="2343" xr:uid="{00000000-0005-0000-0000-000027090000}"/>
    <cellStyle name="Comma 5 2 7" xfId="2344" xr:uid="{00000000-0005-0000-0000-000028090000}"/>
    <cellStyle name="Comma 5 3" xfId="2345" xr:uid="{00000000-0005-0000-0000-000029090000}"/>
    <cellStyle name="Comma 5 4" xfId="2346" xr:uid="{00000000-0005-0000-0000-00002A090000}"/>
    <cellStyle name="Comma 5 5" xfId="2347" xr:uid="{00000000-0005-0000-0000-00002B090000}"/>
    <cellStyle name="Comma 5 6" xfId="2348" xr:uid="{00000000-0005-0000-0000-00002C090000}"/>
    <cellStyle name="Comma 5 6 2" xfId="2349" xr:uid="{00000000-0005-0000-0000-00002D090000}"/>
    <cellStyle name="Comma 5 6 2 2" xfId="2350" xr:uid="{00000000-0005-0000-0000-00002E090000}"/>
    <cellStyle name="Comma 5 6 2 2 2" xfId="2351" xr:uid="{00000000-0005-0000-0000-00002F090000}"/>
    <cellStyle name="Comma 5 6 2 2 2 2" xfId="2352" xr:uid="{00000000-0005-0000-0000-000030090000}"/>
    <cellStyle name="Comma 5 6 2 2 3" xfId="2353" xr:uid="{00000000-0005-0000-0000-000031090000}"/>
    <cellStyle name="Comma 5 6 2 2 4" xfId="2354" xr:uid="{00000000-0005-0000-0000-000032090000}"/>
    <cellStyle name="Comma 5 6 2 3" xfId="2355" xr:uid="{00000000-0005-0000-0000-000033090000}"/>
    <cellStyle name="Comma 5 6 2 3 2" xfId="2356" xr:uid="{00000000-0005-0000-0000-000034090000}"/>
    <cellStyle name="Comma 5 6 2 4" xfId="2357" xr:uid="{00000000-0005-0000-0000-000035090000}"/>
    <cellStyle name="Comma 5 6 2 5" xfId="2358" xr:uid="{00000000-0005-0000-0000-000036090000}"/>
    <cellStyle name="Comma 5 6 3" xfId="2359" xr:uid="{00000000-0005-0000-0000-000037090000}"/>
    <cellStyle name="Comma 5 6 3 2" xfId="2360" xr:uid="{00000000-0005-0000-0000-000038090000}"/>
    <cellStyle name="Comma 5 6 3 2 2" xfId="2361" xr:uid="{00000000-0005-0000-0000-000039090000}"/>
    <cellStyle name="Comma 5 6 3 3" xfId="2362" xr:uid="{00000000-0005-0000-0000-00003A090000}"/>
    <cellStyle name="Comma 5 6 3 4" xfId="2363" xr:uid="{00000000-0005-0000-0000-00003B090000}"/>
    <cellStyle name="Comma 5 6 4" xfId="2364" xr:uid="{00000000-0005-0000-0000-00003C090000}"/>
    <cellStyle name="Comma 5 6 4 2" xfId="2365" xr:uid="{00000000-0005-0000-0000-00003D090000}"/>
    <cellStyle name="Comma 5 6 5" xfId="2366" xr:uid="{00000000-0005-0000-0000-00003E090000}"/>
    <cellStyle name="Comma 5 6 6" xfId="2367" xr:uid="{00000000-0005-0000-0000-00003F090000}"/>
    <cellStyle name="Comma 5 7" xfId="2368" xr:uid="{00000000-0005-0000-0000-000040090000}"/>
    <cellStyle name="Comma 5 8" xfId="2369" xr:uid="{00000000-0005-0000-0000-000041090000}"/>
    <cellStyle name="Comma 5 8 2" xfId="2370" xr:uid="{00000000-0005-0000-0000-000042090000}"/>
    <cellStyle name="Comma 5 8 2 2" xfId="2371" xr:uid="{00000000-0005-0000-0000-000043090000}"/>
    <cellStyle name="Comma 5 8 3" xfId="2372" xr:uid="{00000000-0005-0000-0000-000044090000}"/>
    <cellStyle name="Comma 5 8 4" xfId="2373" xr:uid="{00000000-0005-0000-0000-000045090000}"/>
    <cellStyle name="Comma 50" xfId="2374" xr:uid="{00000000-0005-0000-0000-000046090000}"/>
    <cellStyle name="Comma 51" xfId="2375" xr:uid="{00000000-0005-0000-0000-000047090000}"/>
    <cellStyle name="Comma 52" xfId="2376" xr:uid="{00000000-0005-0000-0000-000048090000}"/>
    <cellStyle name="Comma 53" xfId="2977" xr:uid="{00000000-0005-0000-0000-000049090000}"/>
    <cellStyle name="Comma 6" xfId="2377" xr:uid="{00000000-0005-0000-0000-00004A090000}"/>
    <cellStyle name="Comma 6 2" xfId="2378" xr:uid="{00000000-0005-0000-0000-00004B090000}"/>
    <cellStyle name="Comma 6 3" xfId="2379" xr:uid="{00000000-0005-0000-0000-00004C090000}"/>
    <cellStyle name="Comma 6 4" xfId="2380" xr:uid="{00000000-0005-0000-0000-00004D090000}"/>
    <cellStyle name="Comma 6 5" xfId="2381" xr:uid="{00000000-0005-0000-0000-00004E090000}"/>
    <cellStyle name="Comma 6 6" xfId="2382" xr:uid="{00000000-0005-0000-0000-00004F090000}"/>
    <cellStyle name="Comma 7" xfId="2383" xr:uid="{00000000-0005-0000-0000-000050090000}"/>
    <cellStyle name="Comma 7 2" xfId="2384" xr:uid="{00000000-0005-0000-0000-000051090000}"/>
    <cellStyle name="Comma 7 2 2" xfId="2385" xr:uid="{00000000-0005-0000-0000-000052090000}"/>
    <cellStyle name="Comma 7 2 2 2" xfId="2386" xr:uid="{00000000-0005-0000-0000-000053090000}"/>
    <cellStyle name="Comma 7 2 2 2 2" xfId="2387" xr:uid="{00000000-0005-0000-0000-000054090000}"/>
    <cellStyle name="Comma 7 2 2 2 2 2" xfId="2388" xr:uid="{00000000-0005-0000-0000-000055090000}"/>
    <cellStyle name="Comma 7 2 2 2 3" xfId="2389" xr:uid="{00000000-0005-0000-0000-000056090000}"/>
    <cellStyle name="Comma 7 2 2 2 4" xfId="2390" xr:uid="{00000000-0005-0000-0000-000057090000}"/>
    <cellStyle name="Comma 7 2 2 3" xfId="2391" xr:uid="{00000000-0005-0000-0000-000058090000}"/>
    <cellStyle name="Comma 7 2 2 3 2" xfId="2392" xr:uid="{00000000-0005-0000-0000-000059090000}"/>
    <cellStyle name="Comma 7 2 2 4" xfId="2393" xr:uid="{00000000-0005-0000-0000-00005A090000}"/>
    <cellStyle name="Comma 7 2 2 5" xfId="2394" xr:uid="{00000000-0005-0000-0000-00005B090000}"/>
    <cellStyle name="Comma 7 2 3" xfId="2395" xr:uid="{00000000-0005-0000-0000-00005C090000}"/>
    <cellStyle name="Comma 7 2 3 2" xfId="2396" xr:uid="{00000000-0005-0000-0000-00005D090000}"/>
    <cellStyle name="Comma 7 2 3 2 2" xfId="2397" xr:uid="{00000000-0005-0000-0000-00005E090000}"/>
    <cellStyle name="Comma 7 2 3 3" xfId="2398" xr:uid="{00000000-0005-0000-0000-00005F090000}"/>
    <cellStyle name="Comma 7 2 3 4" xfId="2399" xr:uid="{00000000-0005-0000-0000-000060090000}"/>
    <cellStyle name="Comma 7 2 4" xfId="2400" xr:uid="{00000000-0005-0000-0000-000061090000}"/>
    <cellStyle name="Comma 7 2 4 2" xfId="2401" xr:uid="{00000000-0005-0000-0000-000062090000}"/>
    <cellStyle name="Comma 7 2 5" xfId="2402" xr:uid="{00000000-0005-0000-0000-000063090000}"/>
    <cellStyle name="Comma 7 2 6" xfId="2403" xr:uid="{00000000-0005-0000-0000-000064090000}"/>
    <cellStyle name="Comma 7 3" xfId="2404" xr:uid="{00000000-0005-0000-0000-000065090000}"/>
    <cellStyle name="Comma 7 4" xfId="2405" xr:uid="{00000000-0005-0000-0000-000066090000}"/>
    <cellStyle name="Comma 7 4 2" xfId="2406" xr:uid="{00000000-0005-0000-0000-000067090000}"/>
    <cellStyle name="Comma 7 5" xfId="2407" xr:uid="{00000000-0005-0000-0000-000068090000}"/>
    <cellStyle name="Comma 7 6" xfId="2408" xr:uid="{00000000-0005-0000-0000-000069090000}"/>
    <cellStyle name="Comma 8" xfId="2409" xr:uid="{00000000-0005-0000-0000-00006A090000}"/>
    <cellStyle name="Comma 8 2" xfId="2410" xr:uid="{00000000-0005-0000-0000-00006B090000}"/>
    <cellStyle name="Comma 8 2 2" xfId="2411" xr:uid="{00000000-0005-0000-0000-00006C090000}"/>
    <cellStyle name="Comma 8 2 2 2" xfId="2412" xr:uid="{00000000-0005-0000-0000-00006D090000}"/>
    <cellStyle name="Comma 8 2 2 2 2" xfId="2413" xr:uid="{00000000-0005-0000-0000-00006E090000}"/>
    <cellStyle name="Comma 8 2 2 3" xfId="2414" xr:uid="{00000000-0005-0000-0000-00006F090000}"/>
    <cellStyle name="Comma 8 2 2 4" xfId="2415" xr:uid="{00000000-0005-0000-0000-000070090000}"/>
    <cellStyle name="Comma 8 2 3" xfId="2416" xr:uid="{00000000-0005-0000-0000-000071090000}"/>
    <cellStyle name="Comma 8 2 3 2" xfId="2417" xr:uid="{00000000-0005-0000-0000-000072090000}"/>
    <cellStyle name="Comma 8 2 4" xfId="2418" xr:uid="{00000000-0005-0000-0000-000073090000}"/>
    <cellStyle name="Comma 8 2 5" xfId="2419" xr:uid="{00000000-0005-0000-0000-000074090000}"/>
    <cellStyle name="Comma 8 3" xfId="2420" xr:uid="{00000000-0005-0000-0000-000075090000}"/>
    <cellStyle name="Comma 8 3 2" xfId="2421" xr:uid="{00000000-0005-0000-0000-000076090000}"/>
    <cellStyle name="Comma 8 3 2 2" xfId="2422" xr:uid="{00000000-0005-0000-0000-000077090000}"/>
    <cellStyle name="Comma 8 3 3" xfId="2423" xr:uid="{00000000-0005-0000-0000-000078090000}"/>
    <cellStyle name="Comma 8 3 4" xfId="2424" xr:uid="{00000000-0005-0000-0000-000079090000}"/>
    <cellStyle name="Comma 8 4" xfId="2425" xr:uid="{00000000-0005-0000-0000-00007A090000}"/>
    <cellStyle name="Comma 8 4 2" xfId="2426" xr:uid="{00000000-0005-0000-0000-00007B090000}"/>
    <cellStyle name="Comma 8 5" xfId="2427" xr:uid="{00000000-0005-0000-0000-00007C090000}"/>
    <cellStyle name="Comma 8 5 2" xfId="2428" xr:uid="{00000000-0005-0000-0000-00007D090000}"/>
    <cellStyle name="Comma 8 6" xfId="2429" xr:uid="{00000000-0005-0000-0000-00007E090000}"/>
    <cellStyle name="Comma 8 6 2" xfId="2430" xr:uid="{00000000-0005-0000-0000-00007F090000}"/>
    <cellStyle name="Comma 8 7" xfId="2431" xr:uid="{00000000-0005-0000-0000-000080090000}"/>
    <cellStyle name="Comma 9" xfId="2432" xr:uid="{00000000-0005-0000-0000-000081090000}"/>
    <cellStyle name="Comma 9 2" xfId="2433" xr:uid="{00000000-0005-0000-0000-000082090000}"/>
    <cellStyle name="Comma 9 3" xfId="2434" xr:uid="{00000000-0005-0000-0000-000083090000}"/>
    <cellStyle name="Currency" xfId="2983" builtinId="4"/>
    <cellStyle name="Currency [0] 2" xfId="2435" xr:uid="{00000000-0005-0000-0000-000085090000}"/>
    <cellStyle name="Currency [0] 2 2" xfId="2436" xr:uid="{00000000-0005-0000-0000-000086090000}"/>
    <cellStyle name="Currency 2" xfId="2437" xr:uid="{00000000-0005-0000-0000-000087090000}"/>
    <cellStyle name="Currency 2 2" xfId="2438" xr:uid="{00000000-0005-0000-0000-000088090000}"/>
    <cellStyle name="Currency 3" xfId="2439" xr:uid="{00000000-0005-0000-0000-000089090000}"/>
    <cellStyle name="Currency 3 2" xfId="2440" xr:uid="{00000000-0005-0000-0000-00008A090000}"/>
    <cellStyle name="Currency 4" xfId="2441" xr:uid="{00000000-0005-0000-0000-00008B090000}"/>
    <cellStyle name="Currency 4 2" xfId="2442" xr:uid="{00000000-0005-0000-0000-00008C090000}"/>
    <cellStyle name="Currency 5" xfId="2443" xr:uid="{00000000-0005-0000-0000-00008D090000}"/>
    <cellStyle name="Explanatory Text 2" xfId="2444" xr:uid="{00000000-0005-0000-0000-00008E090000}"/>
    <cellStyle name="Explanatory Text 3" xfId="2445" xr:uid="{00000000-0005-0000-0000-00008F090000}"/>
    <cellStyle name="Good 2" xfId="2446" xr:uid="{00000000-0005-0000-0000-000090090000}"/>
    <cellStyle name="Good 3" xfId="2447" xr:uid="{00000000-0005-0000-0000-000091090000}"/>
    <cellStyle name="Heading 1 2" xfId="2448" xr:uid="{00000000-0005-0000-0000-000092090000}"/>
    <cellStyle name="Heading 1 3" xfId="2449" xr:uid="{00000000-0005-0000-0000-000093090000}"/>
    <cellStyle name="Heading 2 2" xfId="2450" xr:uid="{00000000-0005-0000-0000-000094090000}"/>
    <cellStyle name="Heading 2 3" xfId="2451" xr:uid="{00000000-0005-0000-0000-000095090000}"/>
    <cellStyle name="Heading 3 2" xfId="2452" xr:uid="{00000000-0005-0000-0000-000096090000}"/>
    <cellStyle name="Heading 3 3" xfId="2453" xr:uid="{00000000-0005-0000-0000-000097090000}"/>
    <cellStyle name="Heading 4 2" xfId="2454" xr:uid="{00000000-0005-0000-0000-000098090000}"/>
    <cellStyle name="Heading 4 3" xfId="2455" xr:uid="{00000000-0005-0000-0000-000099090000}"/>
    <cellStyle name="Hyperlink" xfId="2985" builtinId="8"/>
    <cellStyle name="Hyperlink 2" xfId="2456" xr:uid="{00000000-0005-0000-0000-00009B090000}"/>
    <cellStyle name="Hyperlink 2 2" xfId="2457" xr:uid="{00000000-0005-0000-0000-00009C090000}"/>
    <cellStyle name="Hyperlink 3" xfId="2458" xr:uid="{00000000-0005-0000-0000-00009D090000}"/>
    <cellStyle name="Hyperlink 3 2" xfId="2459" xr:uid="{00000000-0005-0000-0000-00009E090000}"/>
    <cellStyle name="Input 2" xfId="2460" xr:uid="{00000000-0005-0000-0000-00009F090000}"/>
    <cellStyle name="Input 3" xfId="2461" xr:uid="{00000000-0005-0000-0000-0000A0090000}"/>
    <cellStyle name="Linked Cell 2" xfId="2462" xr:uid="{00000000-0005-0000-0000-0000A1090000}"/>
    <cellStyle name="Linked Cell 3" xfId="2463" xr:uid="{00000000-0005-0000-0000-0000A2090000}"/>
    <cellStyle name="Neutral 2" xfId="2464" xr:uid="{00000000-0005-0000-0000-0000A3090000}"/>
    <cellStyle name="Neutral 3" xfId="2465" xr:uid="{00000000-0005-0000-0000-0000A4090000}"/>
    <cellStyle name="Normal" xfId="0" builtinId="0"/>
    <cellStyle name="Normal 10" xfId="2466" xr:uid="{00000000-0005-0000-0000-0000A6090000}"/>
    <cellStyle name="Normal 10 2" xfId="2467" xr:uid="{00000000-0005-0000-0000-0000A7090000}"/>
    <cellStyle name="Normal 11" xfId="2468" xr:uid="{00000000-0005-0000-0000-0000A8090000}"/>
    <cellStyle name="Normal 11 2" xfId="2469" xr:uid="{00000000-0005-0000-0000-0000A9090000}"/>
    <cellStyle name="Normal 12" xfId="2470" xr:uid="{00000000-0005-0000-0000-0000AA090000}"/>
    <cellStyle name="Normal 12 2" xfId="2471" xr:uid="{00000000-0005-0000-0000-0000AB090000}"/>
    <cellStyle name="Normal 13" xfId="2472" xr:uid="{00000000-0005-0000-0000-0000AC090000}"/>
    <cellStyle name="Normal 13 2" xfId="2473" xr:uid="{00000000-0005-0000-0000-0000AD090000}"/>
    <cellStyle name="Normal 13 2 2" xfId="2474" xr:uid="{00000000-0005-0000-0000-0000AE090000}"/>
    <cellStyle name="Normal 13 2 2 2" xfId="2475" xr:uid="{00000000-0005-0000-0000-0000AF090000}"/>
    <cellStyle name="Normal 13 2 2 2 2" xfId="2476" xr:uid="{00000000-0005-0000-0000-0000B0090000}"/>
    <cellStyle name="Normal 13 2 2 2 3" xfId="2981" xr:uid="{00000000-0005-0000-0000-0000B1090000}"/>
    <cellStyle name="Normal 13 2 2 3" xfId="2477" xr:uid="{00000000-0005-0000-0000-0000B2090000}"/>
    <cellStyle name="Normal 13 2 2 4" xfId="2478" xr:uid="{00000000-0005-0000-0000-0000B3090000}"/>
    <cellStyle name="Normal 13 2 3" xfId="2479" xr:uid="{00000000-0005-0000-0000-0000B4090000}"/>
    <cellStyle name="Normal 13 2 3 2" xfId="2480" xr:uid="{00000000-0005-0000-0000-0000B5090000}"/>
    <cellStyle name="Normal 13 2 4" xfId="2481" xr:uid="{00000000-0005-0000-0000-0000B6090000}"/>
    <cellStyle name="Normal 13 2 5" xfId="2482" xr:uid="{00000000-0005-0000-0000-0000B7090000}"/>
    <cellStyle name="Normal 13 3" xfId="2483" xr:uid="{00000000-0005-0000-0000-0000B8090000}"/>
    <cellStyle name="Normal 13 3 2" xfId="2484" xr:uid="{00000000-0005-0000-0000-0000B9090000}"/>
    <cellStyle name="Normal 13 3 2 2" xfId="2485" xr:uid="{00000000-0005-0000-0000-0000BA090000}"/>
    <cellStyle name="Normal 13 3 3" xfId="2486" xr:uid="{00000000-0005-0000-0000-0000BB090000}"/>
    <cellStyle name="Normal 13 3 4" xfId="2487" xr:uid="{00000000-0005-0000-0000-0000BC090000}"/>
    <cellStyle name="Normal 13 4" xfId="2488" xr:uid="{00000000-0005-0000-0000-0000BD090000}"/>
    <cellStyle name="Normal 13 4 2" xfId="2489" xr:uid="{00000000-0005-0000-0000-0000BE090000}"/>
    <cellStyle name="Normal 13 5" xfId="2490" xr:uid="{00000000-0005-0000-0000-0000BF090000}"/>
    <cellStyle name="Normal 13 6" xfId="2491" xr:uid="{00000000-0005-0000-0000-0000C0090000}"/>
    <cellStyle name="Normal 14" xfId="2492" xr:uid="{00000000-0005-0000-0000-0000C1090000}"/>
    <cellStyle name="Normal 14 2" xfId="2493" xr:uid="{00000000-0005-0000-0000-0000C2090000}"/>
    <cellStyle name="Normal 15" xfId="2494" xr:uid="{00000000-0005-0000-0000-0000C3090000}"/>
    <cellStyle name="Normal 15 2" xfId="2495" xr:uid="{00000000-0005-0000-0000-0000C4090000}"/>
    <cellStyle name="Normal 15 3" xfId="2496" xr:uid="{00000000-0005-0000-0000-0000C5090000}"/>
    <cellStyle name="Normal 16" xfId="2497" xr:uid="{00000000-0005-0000-0000-0000C6090000}"/>
    <cellStyle name="Normal 16 2" xfId="2498" xr:uid="{00000000-0005-0000-0000-0000C7090000}"/>
    <cellStyle name="Normal 16 2 2" xfId="2499" xr:uid="{00000000-0005-0000-0000-0000C8090000}"/>
    <cellStyle name="Normal 16 3" xfId="2500" xr:uid="{00000000-0005-0000-0000-0000C9090000}"/>
    <cellStyle name="Normal 16 4" xfId="2501" xr:uid="{00000000-0005-0000-0000-0000CA090000}"/>
    <cellStyle name="Normal 17" xfId="2502" xr:uid="{00000000-0005-0000-0000-0000CB090000}"/>
    <cellStyle name="Normal 18" xfId="2503" xr:uid="{00000000-0005-0000-0000-0000CC090000}"/>
    <cellStyle name="Normal 18 2" xfId="2504" xr:uid="{00000000-0005-0000-0000-0000CD090000}"/>
    <cellStyle name="Normal 19" xfId="2505" xr:uid="{00000000-0005-0000-0000-0000CE090000}"/>
    <cellStyle name="Normal 2" xfId="2506" xr:uid="{00000000-0005-0000-0000-0000CF090000}"/>
    <cellStyle name="Normal 2 2" xfId="2507" xr:uid="{00000000-0005-0000-0000-0000D0090000}"/>
    <cellStyle name="Normal 2 3" xfId="2508" xr:uid="{00000000-0005-0000-0000-0000D1090000}"/>
    <cellStyle name="Normal 2 4" xfId="2509" xr:uid="{00000000-0005-0000-0000-0000D2090000}"/>
    <cellStyle name="Normal 3" xfId="2510" xr:uid="{00000000-0005-0000-0000-0000D3090000}"/>
    <cellStyle name="Normal 3 10" xfId="2511" xr:uid="{00000000-0005-0000-0000-0000D4090000}"/>
    <cellStyle name="Normal 3 10 2" xfId="2512" xr:uid="{00000000-0005-0000-0000-0000D5090000}"/>
    <cellStyle name="Normal 3 10 2 2" xfId="2513" xr:uid="{00000000-0005-0000-0000-0000D6090000}"/>
    <cellStyle name="Normal 3 10 3" xfId="2514" xr:uid="{00000000-0005-0000-0000-0000D7090000}"/>
    <cellStyle name="Normal 3 10 4" xfId="2515" xr:uid="{00000000-0005-0000-0000-0000D8090000}"/>
    <cellStyle name="Normal 3 11" xfId="2516" xr:uid="{00000000-0005-0000-0000-0000D9090000}"/>
    <cellStyle name="Normal 3 11 2" xfId="2517" xr:uid="{00000000-0005-0000-0000-0000DA090000}"/>
    <cellStyle name="Normal 3 12" xfId="2518" xr:uid="{00000000-0005-0000-0000-0000DB090000}"/>
    <cellStyle name="Normal 3 12 2" xfId="2519" xr:uid="{00000000-0005-0000-0000-0000DC090000}"/>
    <cellStyle name="Normal 3 13" xfId="2520" xr:uid="{00000000-0005-0000-0000-0000DD090000}"/>
    <cellStyle name="Normal 3 14" xfId="2521" xr:uid="{00000000-0005-0000-0000-0000DE090000}"/>
    <cellStyle name="Normal 3 2" xfId="2522" xr:uid="{00000000-0005-0000-0000-0000DF090000}"/>
    <cellStyle name="Normal 3 2 2" xfId="2523" xr:uid="{00000000-0005-0000-0000-0000E0090000}"/>
    <cellStyle name="Normal 3 2 2 2" xfId="2524" xr:uid="{00000000-0005-0000-0000-0000E1090000}"/>
    <cellStyle name="Normal 3 2 2 2 2" xfId="2525" xr:uid="{00000000-0005-0000-0000-0000E2090000}"/>
    <cellStyle name="Normal 3 2 2 2 2 2" xfId="2526" xr:uid="{00000000-0005-0000-0000-0000E3090000}"/>
    <cellStyle name="Normal 3 2 2 2 3" xfId="2527" xr:uid="{00000000-0005-0000-0000-0000E4090000}"/>
    <cellStyle name="Normal 3 2 2 2 4" xfId="2528" xr:uid="{00000000-0005-0000-0000-0000E5090000}"/>
    <cellStyle name="Normal 3 2 2 3" xfId="2529" xr:uid="{00000000-0005-0000-0000-0000E6090000}"/>
    <cellStyle name="Normal 3 2 2 3 2" xfId="2530" xr:uid="{00000000-0005-0000-0000-0000E7090000}"/>
    <cellStyle name="Normal 3 2 2 4" xfId="2531" xr:uid="{00000000-0005-0000-0000-0000E8090000}"/>
    <cellStyle name="Normal 3 2 2 5" xfId="2532" xr:uid="{00000000-0005-0000-0000-0000E9090000}"/>
    <cellStyle name="Normal 3 2 3" xfId="2533" xr:uid="{00000000-0005-0000-0000-0000EA090000}"/>
    <cellStyle name="Normal 3 2 3 2" xfId="2534" xr:uid="{00000000-0005-0000-0000-0000EB090000}"/>
    <cellStyle name="Normal 3 2 3 2 2" xfId="2535" xr:uid="{00000000-0005-0000-0000-0000EC090000}"/>
    <cellStyle name="Normal 3 2 3 3" xfId="2536" xr:uid="{00000000-0005-0000-0000-0000ED090000}"/>
    <cellStyle name="Normal 3 2 3 4" xfId="2537" xr:uid="{00000000-0005-0000-0000-0000EE090000}"/>
    <cellStyle name="Normal 3 2 4" xfId="2538" xr:uid="{00000000-0005-0000-0000-0000EF090000}"/>
    <cellStyle name="Normal 3 2 4 2" xfId="2539" xr:uid="{00000000-0005-0000-0000-0000F0090000}"/>
    <cellStyle name="Normal 3 2 5" xfId="2540" xr:uid="{00000000-0005-0000-0000-0000F1090000}"/>
    <cellStyle name="Normal 3 2 5 2" xfId="2541" xr:uid="{00000000-0005-0000-0000-0000F2090000}"/>
    <cellStyle name="Normal 3 2 6" xfId="2542" xr:uid="{00000000-0005-0000-0000-0000F3090000}"/>
    <cellStyle name="Normal 3 2 7" xfId="2543" xr:uid="{00000000-0005-0000-0000-0000F4090000}"/>
    <cellStyle name="Normal 3 3" xfId="2544" xr:uid="{00000000-0005-0000-0000-0000F5090000}"/>
    <cellStyle name="Normal 3 3 2" xfId="2545" xr:uid="{00000000-0005-0000-0000-0000F6090000}"/>
    <cellStyle name="Normal 3 3 2 2" xfId="2546" xr:uid="{00000000-0005-0000-0000-0000F7090000}"/>
    <cellStyle name="Normal 3 3 2 2 2" xfId="2547" xr:uid="{00000000-0005-0000-0000-0000F8090000}"/>
    <cellStyle name="Normal 3 3 2 2 2 2" xfId="2548" xr:uid="{00000000-0005-0000-0000-0000F9090000}"/>
    <cellStyle name="Normal 3 3 2 2 3" xfId="2549" xr:uid="{00000000-0005-0000-0000-0000FA090000}"/>
    <cellStyle name="Normal 3 3 2 2 4" xfId="2550" xr:uid="{00000000-0005-0000-0000-0000FB090000}"/>
    <cellStyle name="Normal 3 3 2 3" xfId="2551" xr:uid="{00000000-0005-0000-0000-0000FC090000}"/>
    <cellStyle name="Normal 3 3 2 3 2" xfId="2552" xr:uid="{00000000-0005-0000-0000-0000FD090000}"/>
    <cellStyle name="Normal 3 3 2 4" xfId="2553" xr:uid="{00000000-0005-0000-0000-0000FE090000}"/>
    <cellStyle name="Normal 3 3 2 5" xfId="2554" xr:uid="{00000000-0005-0000-0000-0000FF090000}"/>
    <cellStyle name="Normal 3 3 3" xfId="2555" xr:uid="{00000000-0005-0000-0000-0000000A0000}"/>
    <cellStyle name="Normal 3 3 3 2" xfId="2556" xr:uid="{00000000-0005-0000-0000-0000010A0000}"/>
    <cellStyle name="Normal 3 3 3 2 2" xfId="2557" xr:uid="{00000000-0005-0000-0000-0000020A0000}"/>
    <cellStyle name="Normal 3 3 3 3" xfId="2558" xr:uid="{00000000-0005-0000-0000-0000030A0000}"/>
    <cellStyle name="Normal 3 3 3 4" xfId="2559" xr:uid="{00000000-0005-0000-0000-0000040A0000}"/>
    <cellStyle name="Normal 3 3 4" xfId="2560" xr:uid="{00000000-0005-0000-0000-0000050A0000}"/>
    <cellStyle name="Normal 3 3 4 2" xfId="2561" xr:uid="{00000000-0005-0000-0000-0000060A0000}"/>
    <cellStyle name="Normal 3 3 5" xfId="2562" xr:uid="{00000000-0005-0000-0000-0000070A0000}"/>
    <cellStyle name="Normal 3 3 5 2" xfId="2563" xr:uid="{00000000-0005-0000-0000-0000080A0000}"/>
    <cellStyle name="Normal 3 3 6" xfId="2564" xr:uid="{00000000-0005-0000-0000-0000090A0000}"/>
    <cellStyle name="Normal 3 3 7" xfId="2565" xr:uid="{00000000-0005-0000-0000-00000A0A0000}"/>
    <cellStyle name="Normal 3 4" xfId="2566" xr:uid="{00000000-0005-0000-0000-00000B0A0000}"/>
    <cellStyle name="Normal 3 4 2" xfId="2567" xr:uid="{00000000-0005-0000-0000-00000C0A0000}"/>
    <cellStyle name="Normal 3 4 2 2" xfId="2568" xr:uid="{00000000-0005-0000-0000-00000D0A0000}"/>
    <cellStyle name="Normal 3 4 2 2 2" xfId="2569" xr:uid="{00000000-0005-0000-0000-00000E0A0000}"/>
    <cellStyle name="Normal 3 4 2 2 2 2" xfId="2570" xr:uid="{00000000-0005-0000-0000-00000F0A0000}"/>
    <cellStyle name="Normal 3 4 2 2 3" xfId="2571" xr:uid="{00000000-0005-0000-0000-0000100A0000}"/>
    <cellStyle name="Normal 3 4 2 2 4" xfId="2572" xr:uid="{00000000-0005-0000-0000-0000110A0000}"/>
    <cellStyle name="Normal 3 4 2 3" xfId="2573" xr:uid="{00000000-0005-0000-0000-0000120A0000}"/>
    <cellStyle name="Normal 3 4 2 3 2" xfId="2574" xr:uid="{00000000-0005-0000-0000-0000130A0000}"/>
    <cellStyle name="Normal 3 4 2 4" xfId="2575" xr:uid="{00000000-0005-0000-0000-0000140A0000}"/>
    <cellStyle name="Normal 3 4 2 5" xfId="2576" xr:uid="{00000000-0005-0000-0000-0000150A0000}"/>
    <cellStyle name="Normal 3 4 3" xfId="2577" xr:uid="{00000000-0005-0000-0000-0000160A0000}"/>
    <cellStyle name="Normal 3 4 3 2" xfId="2578" xr:uid="{00000000-0005-0000-0000-0000170A0000}"/>
    <cellStyle name="Normal 3 4 3 2 2" xfId="2579" xr:uid="{00000000-0005-0000-0000-0000180A0000}"/>
    <cellStyle name="Normal 3 4 3 3" xfId="2580" xr:uid="{00000000-0005-0000-0000-0000190A0000}"/>
    <cellStyle name="Normal 3 4 3 4" xfId="2581" xr:uid="{00000000-0005-0000-0000-00001A0A0000}"/>
    <cellStyle name="Normal 3 4 4" xfId="2582" xr:uid="{00000000-0005-0000-0000-00001B0A0000}"/>
    <cellStyle name="Normal 3 4 4 2" xfId="2583" xr:uid="{00000000-0005-0000-0000-00001C0A0000}"/>
    <cellStyle name="Normal 3 4 5" xfId="2584" xr:uid="{00000000-0005-0000-0000-00001D0A0000}"/>
    <cellStyle name="Normal 3 4 5 2" xfId="2585" xr:uid="{00000000-0005-0000-0000-00001E0A0000}"/>
    <cellStyle name="Normal 3 4 6" xfId="2586" xr:uid="{00000000-0005-0000-0000-00001F0A0000}"/>
    <cellStyle name="Normal 3 4 7" xfId="2587" xr:uid="{00000000-0005-0000-0000-0000200A0000}"/>
    <cellStyle name="Normal 3 5" xfId="2588" xr:uid="{00000000-0005-0000-0000-0000210A0000}"/>
    <cellStyle name="Normal 3 5 2" xfId="2589" xr:uid="{00000000-0005-0000-0000-0000220A0000}"/>
    <cellStyle name="Normal 3 5 2 2" xfId="2590" xr:uid="{00000000-0005-0000-0000-0000230A0000}"/>
    <cellStyle name="Normal 3 5 2 2 2" xfId="2591" xr:uid="{00000000-0005-0000-0000-0000240A0000}"/>
    <cellStyle name="Normal 3 5 2 2 2 2" xfId="2592" xr:uid="{00000000-0005-0000-0000-0000250A0000}"/>
    <cellStyle name="Normal 3 5 2 2 3" xfId="2593" xr:uid="{00000000-0005-0000-0000-0000260A0000}"/>
    <cellStyle name="Normal 3 5 2 2 4" xfId="2594" xr:uid="{00000000-0005-0000-0000-0000270A0000}"/>
    <cellStyle name="Normal 3 5 2 3" xfId="2595" xr:uid="{00000000-0005-0000-0000-0000280A0000}"/>
    <cellStyle name="Normal 3 5 2 3 2" xfId="2596" xr:uid="{00000000-0005-0000-0000-0000290A0000}"/>
    <cellStyle name="Normal 3 5 2 4" xfId="2597" xr:uid="{00000000-0005-0000-0000-00002A0A0000}"/>
    <cellStyle name="Normal 3 5 2 5" xfId="2598" xr:uid="{00000000-0005-0000-0000-00002B0A0000}"/>
    <cellStyle name="Normal 3 5 3" xfId="2599" xr:uid="{00000000-0005-0000-0000-00002C0A0000}"/>
    <cellStyle name="Normal 3 5 3 2" xfId="2600" xr:uid="{00000000-0005-0000-0000-00002D0A0000}"/>
    <cellStyle name="Normal 3 5 3 2 2" xfId="2601" xr:uid="{00000000-0005-0000-0000-00002E0A0000}"/>
    <cellStyle name="Normal 3 5 3 3" xfId="2602" xr:uid="{00000000-0005-0000-0000-00002F0A0000}"/>
    <cellStyle name="Normal 3 5 3 4" xfId="2603" xr:uid="{00000000-0005-0000-0000-0000300A0000}"/>
    <cellStyle name="Normal 3 5 4" xfId="2604" xr:uid="{00000000-0005-0000-0000-0000310A0000}"/>
    <cellStyle name="Normal 3 5 4 2" xfId="2605" xr:uid="{00000000-0005-0000-0000-0000320A0000}"/>
    <cellStyle name="Normal 3 5 5" xfId="2606" xr:uid="{00000000-0005-0000-0000-0000330A0000}"/>
    <cellStyle name="Normal 3 5 6" xfId="2607" xr:uid="{00000000-0005-0000-0000-0000340A0000}"/>
    <cellStyle name="Normal 3 6" xfId="2608" xr:uid="{00000000-0005-0000-0000-0000350A0000}"/>
    <cellStyle name="Normal 3 6 2" xfId="2609" xr:uid="{00000000-0005-0000-0000-0000360A0000}"/>
    <cellStyle name="Normal 3 6 2 2" xfId="2610" xr:uid="{00000000-0005-0000-0000-0000370A0000}"/>
    <cellStyle name="Normal 3 6 2 2 2" xfId="2611" xr:uid="{00000000-0005-0000-0000-0000380A0000}"/>
    <cellStyle name="Normal 3 6 2 2 2 2" xfId="2612" xr:uid="{00000000-0005-0000-0000-0000390A0000}"/>
    <cellStyle name="Normal 3 6 2 2 3" xfId="2613" xr:uid="{00000000-0005-0000-0000-00003A0A0000}"/>
    <cellStyle name="Normal 3 6 2 2 4" xfId="2614" xr:uid="{00000000-0005-0000-0000-00003B0A0000}"/>
    <cellStyle name="Normal 3 6 2 3" xfId="2615" xr:uid="{00000000-0005-0000-0000-00003C0A0000}"/>
    <cellStyle name="Normal 3 6 2 3 2" xfId="2616" xr:uid="{00000000-0005-0000-0000-00003D0A0000}"/>
    <cellStyle name="Normal 3 6 2 4" xfId="2617" xr:uid="{00000000-0005-0000-0000-00003E0A0000}"/>
    <cellStyle name="Normal 3 6 2 5" xfId="2618" xr:uid="{00000000-0005-0000-0000-00003F0A0000}"/>
    <cellStyle name="Normal 3 6 3" xfId="2619" xr:uid="{00000000-0005-0000-0000-0000400A0000}"/>
    <cellStyle name="Normal 3 6 3 2" xfId="2620" xr:uid="{00000000-0005-0000-0000-0000410A0000}"/>
    <cellStyle name="Normal 3 6 3 2 2" xfId="2621" xr:uid="{00000000-0005-0000-0000-0000420A0000}"/>
    <cellStyle name="Normal 3 6 3 3" xfId="2622" xr:uid="{00000000-0005-0000-0000-0000430A0000}"/>
    <cellStyle name="Normal 3 6 3 4" xfId="2623" xr:uid="{00000000-0005-0000-0000-0000440A0000}"/>
    <cellStyle name="Normal 3 6 4" xfId="2624" xr:uid="{00000000-0005-0000-0000-0000450A0000}"/>
    <cellStyle name="Normal 3 6 4 2" xfId="2625" xr:uid="{00000000-0005-0000-0000-0000460A0000}"/>
    <cellStyle name="Normal 3 6 5" xfId="2626" xr:uid="{00000000-0005-0000-0000-0000470A0000}"/>
    <cellStyle name="Normal 3 6 6" xfId="2627" xr:uid="{00000000-0005-0000-0000-0000480A0000}"/>
    <cellStyle name="Normal 3 7" xfId="2628" xr:uid="{00000000-0005-0000-0000-0000490A0000}"/>
    <cellStyle name="Normal 3 7 2" xfId="2629" xr:uid="{00000000-0005-0000-0000-00004A0A0000}"/>
    <cellStyle name="Normal 3 7 2 2" xfId="2630" xr:uid="{00000000-0005-0000-0000-00004B0A0000}"/>
    <cellStyle name="Normal 3 7 2 2 2" xfId="2631" xr:uid="{00000000-0005-0000-0000-00004C0A0000}"/>
    <cellStyle name="Normal 3 7 2 2 2 2" xfId="2632" xr:uid="{00000000-0005-0000-0000-00004D0A0000}"/>
    <cellStyle name="Normal 3 7 2 2 3" xfId="2633" xr:uid="{00000000-0005-0000-0000-00004E0A0000}"/>
    <cellStyle name="Normal 3 7 2 2 4" xfId="2634" xr:uid="{00000000-0005-0000-0000-00004F0A0000}"/>
    <cellStyle name="Normal 3 7 2 3" xfId="2635" xr:uid="{00000000-0005-0000-0000-0000500A0000}"/>
    <cellStyle name="Normal 3 7 2 3 2" xfId="2636" xr:uid="{00000000-0005-0000-0000-0000510A0000}"/>
    <cellStyle name="Normal 3 7 2 4" xfId="2637" xr:uid="{00000000-0005-0000-0000-0000520A0000}"/>
    <cellStyle name="Normal 3 7 2 5" xfId="2638" xr:uid="{00000000-0005-0000-0000-0000530A0000}"/>
    <cellStyle name="Normal 3 7 3" xfId="2639" xr:uid="{00000000-0005-0000-0000-0000540A0000}"/>
    <cellStyle name="Normal 3 7 3 2" xfId="2640" xr:uid="{00000000-0005-0000-0000-0000550A0000}"/>
    <cellStyle name="Normal 3 7 3 2 2" xfId="2641" xr:uid="{00000000-0005-0000-0000-0000560A0000}"/>
    <cellStyle name="Normal 3 7 3 3" xfId="2642" xr:uid="{00000000-0005-0000-0000-0000570A0000}"/>
    <cellStyle name="Normal 3 7 3 4" xfId="2643" xr:uid="{00000000-0005-0000-0000-0000580A0000}"/>
    <cellStyle name="Normal 3 7 4" xfId="2644" xr:uid="{00000000-0005-0000-0000-0000590A0000}"/>
    <cellStyle name="Normal 3 7 4 2" xfId="2645" xr:uid="{00000000-0005-0000-0000-00005A0A0000}"/>
    <cellStyle name="Normal 3 7 5" xfId="2646" xr:uid="{00000000-0005-0000-0000-00005B0A0000}"/>
    <cellStyle name="Normal 3 7 6" xfId="2647" xr:uid="{00000000-0005-0000-0000-00005C0A0000}"/>
    <cellStyle name="Normal 3 8" xfId="2648" xr:uid="{00000000-0005-0000-0000-00005D0A0000}"/>
    <cellStyle name="Normal 3 8 2" xfId="2649" xr:uid="{00000000-0005-0000-0000-00005E0A0000}"/>
    <cellStyle name="Normal 3 8 2 2" xfId="2650" xr:uid="{00000000-0005-0000-0000-00005F0A0000}"/>
    <cellStyle name="Normal 3 8 2 2 2" xfId="2651" xr:uid="{00000000-0005-0000-0000-0000600A0000}"/>
    <cellStyle name="Normal 3 8 2 3" xfId="2652" xr:uid="{00000000-0005-0000-0000-0000610A0000}"/>
    <cellStyle name="Normal 3 8 2 4" xfId="2653" xr:uid="{00000000-0005-0000-0000-0000620A0000}"/>
    <cellStyle name="Normal 3 8 3" xfId="2654" xr:uid="{00000000-0005-0000-0000-0000630A0000}"/>
    <cellStyle name="Normal 3 8 3 2" xfId="2655" xr:uid="{00000000-0005-0000-0000-0000640A0000}"/>
    <cellStyle name="Normal 3 8 4" xfId="2656" xr:uid="{00000000-0005-0000-0000-0000650A0000}"/>
    <cellStyle name="Normal 3 8 5" xfId="2657" xr:uid="{00000000-0005-0000-0000-0000660A0000}"/>
    <cellStyle name="Normal 3 9" xfId="2658" xr:uid="{00000000-0005-0000-0000-0000670A0000}"/>
    <cellStyle name="Normal 3 9 2" xfId="2659" xr:uid="{00000000-0005-0000-0000-0000680A0000}"/>
    <cellStyle name="Normal 3 9 2 2" xfId="2660" xr:uid="{00000000-0005-0000-0000-0000690A0000}"/>
    <cellStyle name="Normal 3 9 2 2 2" xfId="2661" xr:uid="{00000000-0005-0000-0000-00006A0A0000}"/>
    <cellStyle name="Normal 3 9 2 3" xfId="2662" xr:uid="{00000000-0005-0000-0000-00006B0A0000}"/>
    <cellStyle name="Normal 3 9 2 4" xfId="2663" xr:uid="{00000000-0005-0000-0000-00006C0A0000}"/>
    <cellStyle name="Normal 3 9 3" xfId="2664" xr:uid="{00000000-0005-0000-0000-00006D0A0000}"/>
    <cellStyle name="Normal 3 9 3 2" xfId="2665" xr:uid="{00000000-0005-0000-0000-00006E0A0000}"/>
    <cellStyle name="Normal 3 9 4" xfId="2666" xr:uid="{00000000-0005-0000-0000-00006F0A0000}"/>
    <cellStyle name="Normal 3 9 5" xfId="2667" xr:uid="{00000000-0005-0000-0000-0000700A0000}"/>
    <cellStyle name="Normal 4" xfId="2668" xr:uid="{00000000-0005-0000-0000-0000710A0000}"/>
    <cellStyle name="Normal 4 2" xfId="2669" xr:uid="{00000000-0005-0000-0000-0000720A0000}"/>
    <cellStyle name="Normal 5" xfId="2670" xr:uid="{00000000-0005-0000-0000-0000730A0000}"/>
    <cellStyle name="Normal 5 2" xfId="2671" xr:uid="{00000000-0005-0000-0000-0000740A0000}"/>
    <cellStyle name="Normal 5 3" xfId="2672" xr:uid="{00000000-0005-0000-0000-0000750A0000}"/>
    <cellStyle name="Normal 5 4" xfId="2673" xr:uid="{00000000-0005-0000-0000-0000760A0000}"/>
    <cellStyle name="Normal 6" xfId="2674" xr:uid="{00000000-0005-0000-0000-0000770A0000}"/>
    <cellStyle name="Normal 6 10" xfId="2675" xr:uid="{00000000-0005-0000-0000-0000780A0000}"/>
    <cellStyle name="Normal 6 10 2" xfId="2676" xr:uid="{00000000-0005-0000-0000-0000790A0000}"/>
    <cellStyle name="Normal 6 11" xfId="2677" xr:uid="{00000000-0005-0000-0000-00007A0A0000}"/>
    <cellStyle name="Normal 6 2" xfId="2678" xr:uid="{00000000-0005-0000-0000-00007B0A0000}"/>
    <cellStyle name="Normal 6 2 2" xfId="2679" xr:uid="{00000000-0005-0000-0000-00007C0A0000}"/>
    <cellStyle name="Normal 6 2 2 2" xfId="2680" xr:uid="{00000000-0005-0000-0000-00007D0A0000}"/>
    <cellStyle name="Normal 6 2 2 2 2" xfId="2681" xr:uid="{00000000-0005-0000-0000-00007E0A0000}"/>
    <cellStyle name="Normal 6 2 2 2 2 2" xfId="2682" xr:uid="{00000000-0005-0000-0000-00007F0A0000}"/>
    <cellStyle name="Normal 6 2 2 2 2 2 2" xfId="2683" xr:uid="{00000000-0005-0000-0000-0000800A0000}"/>
    <cellStyle name="Normal 6 2 2 2 2 3" xfId="2684" xr:uid="{00000000-0005-0000-0000-0000810A0000}"/>
    <cellStyle name="Normal 6 2 2 2 2 4" xfId="2685" xr:uid="{00000000-0005-0000-0000-0000820A0000}"/>
    <cellStyle name="Normal 6 2 2 2 3" xfId="2686" xr:uid="{00000000-0005-0000-0000-0000830A0000}"/>
    <cellStyle name="Normal 6 2 2 2 3 2" xfId="2687" xr:uid="{00000000-0005-0000-0000-0000840A0000}"/>
    <cellStyle name="Normal 6 2 2 2 4" xfId="2688" xr:uid="{00000000-0005-0000-0000-0000850A0000}"/>
    <cellStyle name="Normal 6 2 2 2 5" xfId="2689" xr:uid="{00000000-0005-0000-0000-0000860A0000}"/>
    <cellStyle name="Normal 6 2 2 3" xfId="2690" xr:uid="{00000000-0005-0000-0000-0000870A0000}"/>
    <cellStyle name="Normal 6 2 2 3 2" xfId="2691" xr:uid="{00000000-0005-0000-0000-0000880A0000}"/>
    <cellStyle name="Normal 6 2 2 3 2 2" xfId="2692" xr:uid="{00000000-0005-0000-0000-0000890A0000}"/>
    <cellStyle name="Normal 6 2 2 3 3" xfId="2693" xr:uid="{00000000-0005-0000-0000-00008A0A0000}"/>
    <cellStyle name="Normal 6 2 2 3 4" xfId="2694" xr:uid="{00000000-0005-0000-0000-00008B0A0000}"/>
    <cellStyle name="Normal 6 2 2 4" xfId="2695" xr:uid="{00000000-0005-0000-0000-00008C0A0000}"/>
    <cellStyle name="Normal 6 2 2 4 2" xfId="2696" xr:uid="{00000000-0005-0000-0000-00008D0A0000}"/>
    <cellStyle name="Normal 6 2 2 5" xfId="2697" xr:uid="{00000000-0005-0000-0000-00008E0A0000}"/>
    <cellStyle name="Normal 6 2 2 5 2" xfId="2698" xr:uid="{00000000-0005-0000-0000-00008F0A0000}"/>
    <cellStyle name="Normal 6 2 2 6" xfId="2699" xr:uid="{00000000-0005-0000-0000-0000900A0000}"/>
    <cellStyle name="Normal 6 2 2 7" xfId="2700" xr:uid="{00000000-0005-0000-0000-0000910A0000}"/>
    <cellStyle name="Normal 6 2 3" xfId="2701" xr:uid="{00000000-0005-0000-0000-0000920A0000}"/>
    <cellStyle name="Normal 6 2 3 2" xfId="2702" xr:uid="{00000000-0005-0000-0000-0000930A0000}"/>
    <cellStyle name="Normal 6 2 3 2 2" xfId="2703" xr:uid="{00000000-0005-0000-0000-0000940A0000}"/>
    <cellStyle name="Normal 6 2 3 2 2 2" xfId="2704" xr:uid="{00000000-0005-0000-0000-0000950A0000}"/>
    <cellStyle name="Normal 6 2 3 2 3" xfId="2705" xr:uid="{00000000-0005-0000-0000-0000960A0000}"/>
    <cellStyle name="Normal 6 2 3 2 4" xfId="2706" xr:uid="{00000000-0005-0000-0000-0000970A0000}"/>
    <cellStyle name="Normal 6 2 3 3" xfId="2707" xr:uid="{00000000-0005-0000-0000-0000980A0000}"/>
    <cellStyle name="Normal 6 2 3 3 2" xfId="2708" xr:uid="{00000000-0005-0000-0000-0000990A0000}"/>
    <cellStyle name="Normal 6 2 3 4" xfId="2709" xr:uid="{00000000-0005-0000-0000-00009A0A0000}"/>
    <cellStyle name="Normal 6 2 3 5" xfId="2710" xr:uid="{00000000-0005-0000-0000-00009B0A0000}"/>
    <cellStyle name="Normal 6 2 4" xfId="2711" xr:uid="{00000000-0005-0000-0000-00009C0A0000}"/>
    <cellStyle name="Normal 6 2 4 2" xfId="2712" xr:uid="{00000000-0005-0000-0000-00009D0A0000}"/>
    <cellStyle name="Normal 6 2 4 2 2" xfId="2713" xr:uid="{00000000-0005-0000-0000-00009E0A0000}"/>
    <cellStyle name="Normal 6 2 4 3" xfId="2714" xr:uid="{00000000-0005-0000-0000-00009F0A0000}"/>
    <cellStyle name="Normal 6 2 4 4" xfId="2715" xr:uid="{00000000-0005-0000-0000-0000A00A0000}"/>
    <cellStyle name="Normal 6 2 5" xfId="2716" xr:uid="{00000000-0005-0000-0000-0000A10A0000}"/>
    <cellStyle name="Normal 6 2 5 2" xfId="2717" xr:uid="{00000000-0005-0000-0000-0000A20A0000}"/>
    <cellStyle name="Normal 6 2 6" xfId="2718" xr:uid="{00000000-0005-0000-0000-0000A30A0000}"/>
    <cellStyle name="Normal 6 2 6 2" xfId="2719" xr:uid="{00000000-0005-0000-0000-0000A40A0000}"/>
    <cellStyle name="Normal 6 2 7" xfId="2720" xr:uid="{00000000-0005-0000-0000-0000A50A0000}"/>
    <cellStyle name="Normal 6 2 8" xfId="2721" xr:uid="{00000000-0005-0000-0000-0000A60A0000}"/>
    <cellStyle name="Normal 6 3" xfId="2722" xr:uid="{00000000-0005-0000-0000-0000A70A0000}"/>
    <cellStyle name="Normal 6 3 2" xfId="2723" xr:uid="{00000000-0005-0000-0000-0000A80A0000}"/>
    <cellStyle name="Normal 6 3 2 2" xfId="2724" xr:uid="{00000000-0005-0000-0000-0000A90A0000}"/>
    <cellStyle name="Normal 6 3 2 2 2" xfId="2725" xr:uid="{00000000-0005-0000-0000-0000AA0A0000}"/>
    <cellStyle name="Normal 6 3 2 2 2 2" xfId="2726" xr:uid="{00000000-0005-0000-0000-0000AB0A0000}"/>
    <cellStyle name="Normal 6 3 2 2 3" xfId="2727" xr:uid="{00000000-0005-0000-0000-0000AC0A0000}"/>
    <cellStyle name="Normal 6 3 2 2 4" xfId="2728" xr:uid="{00000000-0005-0000-0000-0000AD0A0000}"/>
    <cellStyle name="Normal 6 3 2 3" xfId="2729" xr:uid="{00000000-0005-0000-0000-0000AE0A0000}"/>
    <cellStyle name="Normal 6 3 2 3 2" xfId="2730" xr:uid="{00000000-0005-0000-0000-0000AF0A0000}"/>
    <cellStyle name="Normal 6 3 2 4" xfId="2731" xr:uid="{00000000-0005-0000-0000-0000B00A0000}"/>
    <cellStyle name="Normal 6 3 2 5" xfId="2732" xr:uid="{00000000-0005-0000-0000-0000B10A0000}"/>
    <cellStyle name="Normal 6 3 3" xfId="2733" xr:uid="{00000000-0005-0000-0000-0000B20A0000}"/>
    <cellStyle name="Normal 6 3 3 2" xfId="2734" xr:uid="{00000000-0005-0000-0000-0000B30A0000}"/>
    <cellStyle name="Normal 6 3 3 2 2" xfId="2735" xr:uid="{00000000-0005-0000-0000-0000B40A0000}"/>
    <cellStyle name="Normal 6 3 3 3" xfId="2736" xr:uid="{00000000-0005-0000-0000-0000B50A0000}"/>
    <cellStyle name="Normal 6 3 3 4" xfId="2737" xr:uid="{00000000-0005-0000-0000-0000B60A0000}"/>
    <cellStyle name="Normal 6 3 4" xfId="2738" xr:uid="{00000000-0005-0000-0000-0000B70A0000}"/>
    <cellStyle name="Normal 6 3 4 2" xfId="2739" xr:uid="{00000000-0005-0000-0000-0000B80A0000}"/>
    <cellStyle name="Normal 6 3 5" xfId="2740" xr:uid="{00000000-0005-0000-0000-0000B90A0000}"/>
    <cellStyle name="Normal 6 3 5 2" xfId="2741" xr:uid="{00000000-0005-0000-0000-0000BA0A0000}"/>
    <cellStyle name="Normal 6 3 6" xfId="2742" xr:uid="{00000000-0005-0000-0000-0000BB0A0000}"/>
    <cellStyle name="Normal 6 3 7" xfId="2743" xr:uid="{00000000-0005-0000-0000-0000BC0A0000}"/>
    <cellStyle name="Normal 6 4" xfId="2744" xr:uid="{00000000-0005-0000-0000-0000BD0A0000}"/>
    <cellStyle name="Normal 6 5" xfId="2745" xr:uid="{00000000-0005-0000-0000-0000BE0A0000}"/>
    <cellStyle name="Normal 6 6" xfId="2746" xr:uid="{00000000-0005-0000-0000-0000BF0A0000}"/>
    <cellStyle name="Normal 6 6 2" xfId="2747" xr:uid="{00000000-0005-0000-0000-0000C00A0000}"/>
    <cellStyle name="Normal 6 6 2 2" xfId="2748" xr:uid="{00000000-0005-0000-0000-0000C10A0000}"/>
    <cellStyle name="Normal 6 6 2 2 2" xfId="2749" xr:uid="{00000000-0005-0000-0000-0000C20A0000}"/>
    <cellStyle name="Normal 6 6 2 2 2 2" xfId="2750" xr:uid="{00000000-0005-0000-0000-0000C30A0000}"/>
    <cellStyle name="Normal 6 6 2 2 3" xfId="2751" xr:uid="{00000000-0005-0000-0000-0000C40A0000}"/>
    <cellStyle name="Normal 6 6 2 2 4" xfId="2752" xr:uid="{00000000-0005-0000-0000-0000C50A0000}"/>
    <cellStyle name="Normal 6 6 2 3" xfId="2753" xr:uid="{00000000-0005-0000-0000-0000C60A0000}"/>
    <cellStyle name="Normal 6 6 2 3 2" xfId="2754" xr:uid="{00000000-0005-0000-0000-0000C70A0000}"/>
    <cellStyle name="Normal 6 6 2 4" xfId="2755" xr:uid="{00000000-0005-0000-0000-0000C80A0000}"/>
    <cellStyle name="Normal 6 6 2 5" xfId="2756" xr:uid="{00000000-0005-0000-0000-0000C90A0000}"/>
    <cellStyle name="Normal 6 6 3" xfId="2757" xr:uid="{00000000-0005-0000-0000-0000CA0A0000}"/>
    <cellStyle name="Normal 6 6 3 2" xfId="2758" xr:uid="{00000000-0005-0000-0000-0000CB0A0000}"/>
    <cellStyle name="Normal 6 6 3 2 2" xfId="2759" xr:uid="{00000000-0005-0000-0000-0000CC0A0000}"/>
    <cellStyle name="Normal 6 6 3 3" xfId="2760" xr:uid="{00000000-0005-0000-0000-0000CD0A0000}"/>
    <cellStyle name="Normal 6 6 3 4" xfId="2761" xr:uid="{00000000-0005-0000-0000-0000CE0A0000}"/>
    <cellStyle name="Normal 6 6 4" xfId="2762" xr:uid="{00000000-0005-0000-0000-0000CF0A0000}"/>
    <cellStyle name="Normal 6 6 4 2" xfId="2763" xr:uid="{00000000-0005-0000-0000-0000D00A0000}"/>
    <cellStyle name="Normal 6 6 5" xfId="2764" xr:uid="{00000000-0005-0000-0000-0000D10A0000}"/>
    <cellStyle name="Normal 6 6 6" xfId="2765" xr:uid="{00000000-0005-0000-0000-0000D20A0000}"/>
    <cellStyle name="Normal 6 7" xfId="2766" xr:uid="{00000000-0005-0000-0000-0000D30A0000}"/>
    <cellStyle name="Normal 6 7 2" xfId="2767" xr:uid="{00000000-0005-0000-0000-0000D40A0000}"/>
    <cellStyle name="Normal 6 7 2 2" xfId="2768" xr:uid="{00000000-0005-0000-0000-0000D50A0000}"/>
    <cellStyle name="Normal 6 7 2 2 2" xfId="2769" xr:uid="{00000000-0005-0000-0000-0000D60A0000}"/>
    <cellStyle name="Normal 6 7 2 2 2 2" xfId="2770" xr:uid="{00000000-0005-0000-0000-0000D70A0000}"/>
    <cellStyle name="Normal 6 7 2 2 3" xfId="2771" xr:uid="{00000000-0005-0000-0000-0000D80A0000}"/>
    <cellStyle name="Normal 6 7 2 2 4" xfId="2772" xr:uid="{00000000-0005-0000-0000-0000D90A0000}"/>
    <cellStyle name="Normal 6 7 2 3" xfId="2773" xr:uid="{00000000-0005-0000-0000-0000DA0A0000}"/>
    <cellStyle name="Normal 6 7 2 3 2" xfId="2774" xr:uid="{00000000-0005-0000-0000-0000DB0A0000}"/>
    <cellStyle name="Normal 6 7 2 4" xfId="2775" xr:uid="{00000000-0005-0000-0000-0000DC0A0000}"/>
    <cellStyle name="Normal 6 7 2 5" xfId="2776" xr:uid="{00000000-0005-0000-0000-0000DD0A0000}"/>
    <cellStyle name="Normal 6 7 3" xfId="2777" xr:uid="{00000000-0005-0000-0000-0000DE0A0000}"/>
    <cellStyle name="Normal 6 7 3 2" xfId="2778" xr:uid="{00000000-0005-0000-0000-0000DF0A0000}"/>
    <cellStyle name="Normal 6 7 3 2 2" xfId="2779" xr:uid="{00000000-0005-0000-0000-0000E00A0000}"/>
    <cellStyle name="Normal 6 7 3 3" xfId="2780" xr:uid="{00000000-0005-0000-0000-0000E10A0000}"/>
    <cellStyle name="Normal 6 7 3 4" xfId="2781" xr:uid="{00000000-0005-0000-0000-0000E20A0000}"/>
    <cellStyle name="Normal 6 7 4" xfId="2782" xr:uid="{00000000-0005-0000-0000-0000E30A0000}"/>
    <cellStyle name="Normal 6 7 4 2" xfId="2783" xr:uid="{00000000-0005-0000-0000-0000E40A0000}"/>
    <cellStyle name="Normal 6 7 5" xfId="2784" xr:uid="{00000000-0005-0000-0000-0000E50A0000}"/>
    <cellStyle name="Normal 6 7 6" xfId="2785" xr:uid="{00000000-0005-0000-0000-0000E60A0000}"/>
    <cellStyle name="Normal 6 8" xfId="2786" xr:uid="{00000000-0005-0000-0000-0000E70A0000}"/>
    <cellStyle name="Normal 6 8 2" xfId="2787" xr:uid="{00000000-0005-0000-0000-0000E80A0000}"/>
    <cellStyle name="Normal 6 8 2 2" xfId="2788" xr:uid="{00000000-0005-0000-0000-0000E90A0000}"/>
    <cellStyle name="Normal 6 8 2 2 2" xfId="2789" xr:uid="{00000000-0005-0000-0000-0000EA0A0000}"/>
    <cellStyle name="Normal 6 8 2 3" xfId="2790" xr:uid="{00000000-0005-0000-0000-0000EB0A0000}"/>
    <cellStyle name="Normal 6 8 2 4" xfId="2791" xr:uid="{00000000-0005-0000-0000-0000EC0A0000}"/>
    <cellStyle name="Normal 6 8 3" xfId="2792" xr:uid="{00000000-0005-0000-0000-0000ED0A0000}"/>
    <cellStyle name="Normal 6 8 3 2" xfId="2793" xr:uid="{00000000-0005-0000-0000-0000EE0A0000}"/>
    <cellStyle name="Normal 6 8 4" xfId="2794" xr:uid="{00000000-0005-0000-0000-0000EF0A0000}"/>
    <cellStyle name="Normal 6 8 5" xfId="2795" xr:uid="{00000000-0005-0000-0000-0000F00A0000}"/>
    <cellStyle name="Normal 6 9" xfId="2796" xr:uid="{00000000-0005-0000-0000-0000F10A0000}"/>
    <cellStyle name="Normal 6 9 2" xfId="2797" xr:uid="{00000000-0005-0000-0000-0000F20A0000}"/>
    <cellStyle name="Normal 6 9 2 2" xfId="2798" xr:uid="{00000000-0005-0000-0000-0000F30A0000}"/>
    <cellStyle name="Normal 6 9 3" xfId="2799" xr:uid="{00000000-0005-0000-0000-0000F40A0000}"/>
    <cellStyle name="Normal 6 9 4" xfId="2800" xr:uid="{00000000-0005-0000-0000-0000F50A0000}"/>
    <cellStyle name="Normal 7" xfId="2801" xr:uid="{00000000-0005-0000-0000-0000F60A0000}"/>
    <cellStyle name="Normal 7 2" xfId="2802" xr:uid="{00000000-0005-0000-0000-0000F70A0000}"/>
    <cellStyle name="Normal 8" xfId="2803" xr:uid="{00000000-0005-0000-0000-0000F80A0000}"/>
    <cellStyle name="Normal 9" xfId="2804" xr:uid="{00000000-0005-0000-0000-0000F90A0000}"/>
    <cellStyle name="Normal 9 2" xfId="2805" xr:uid="{00000000-0005-0000-0000-0000FA0A0000}"/>
    <cellStyle name="Normal 9 2 2" xfId="2806" xr:uid="{00000000-0005-0000-0000-0000FB0A0000}"/>
    <cellStyle name="Normal 9 2 2 2" xfId="2807" xr:uid="{00000000-0005-0000-0000-0000FC0A0000}"/>
    <cellStyle name="Normal 9 2 2 2 2" xfId="2808" xr:uid="{00000000-0005-0000-0000-0000FD0A0000}"/>
    <cellStyle name="Normal 9 2 2 3" xfId="2809" xr:uid="{00000000-0005-0000-0000-0000FE0A0000}"/>
    <cellStyle name="Normal 9 2 2 4" xfId="2810" xr:uid="{00000000-0005-0000-0000-0000FF0A0000}"/>
    <cellStyle name="Normal 9 2 3" xfId="2811" xr:uid="{00000000-0005-0000-0000-0000000B0000}"/>
    <cellStyle name="Normal 9 2 3 2" xfId="2812" xr:uid="{00000000-0005-0000-0000-0000010B0000}"/>
    <cellStyle name="Normal 9 2 4" xfId="2813" xr:uid="{00000000-0005-0000-0000-0000020B0000}"/>
    <cellStyle name="Normal 9 2 5" xfId="2814" xr:uid="{00000000-0005-0000-0000-0000030B0000}"/>
    <cellStyle name="Normal 9 3" xfId="2815" xr:uid="{00000000-0005-0000-0000-0000040B0000}"/>
    <cellStyle name="Normal 9 3 2" xfId="2816" xr:uid="{00000000-0005-0000-0000-0000050B0000}"/>
    <cellStyle name="Normal 9 3 2 2" xfId="2817" xr:uid="{00000000-0005-0000-0000-0000060B0000}"/>
    <cellStyle name="Normal 9 3 3" xfId="2818" xr:uid="{00000000-0005-0000-0000-0000070B0000}"/>
    <cellStyle name="Normal 9 3 4" xfId="2819" xr:uid="{00000000-0005-0000-0000-0000080B0000}"/>
    <cellStyle name="Normal 9 4" xfId="2820" xr:uid="{00000000-0005-0000-0000-0000090B0000}"/>
    <cellStyle name="Normal 9 4 2" xfId="2821" xr:uid="{00000000-0005-0000-0000-00000A0B0000}"/>
    <cellStyle name="Normal 9 5" xfId="2822" xr:uid="{00000000-0005-0000-0000-00000B0B0000}"/>
    <cellStyle name="Normal 9 5 2" xfId="2823" xr:uid="{00000000-0005-0000-0000-00000C0B0000}"/>
    <cellStyle name="Normal 9 6" xfId="2824" xr:uid="{00000000-0005-0000-0000-00000D0B0000}"/>
    <cellStyle name="Normal 9 7" xfId="2825" xr:uid="{00000000-0005-0000-0000-00000E0B0000}"/>
    <cellStyle name="Normal_2007-08 Figures in data report 2007-08" xfId="2982" xr:uid="{00000000-0005-0000-0000-00000F0B0000}"/>
    <cellStyle name="Note 2" xfId="2826" xr:uid="{00000000-0005-0000-0000-0000100B0000}"/>
    <cellStyle name="Note 2 2" xfId="2827" xr:uid="{00000000-0005-0000-0000-0000110B0000}"/>
    <cellStyle name="Note 2 2 2" xfId="2828" xr:uid="{00000000-0005-0000-0000-0000120B0000}"/>
    <cellStyle name="Note 2 3" xfId="2829" xr:uid="{00000000-0005-0000-0000-0000130B0000}"/>
    <cellStyle name="Note 3" xfId="2830" xr:uid="{00000000-0005-0000-0000-0000140B0000}"/>
    <cellStyle name="Output 2" xfId="2831" xr:uid="{00000000-0005-0000-0000-0000150B0000}"/>
    <cellStyle name="Output 3" xfId="2832" xr:uid="{00000000-0005-0000-0000-0000160B0000}"/>
    <cellStyle name="Percent" xfId="2984" builtinId="5"/>
    <cellStyle name="Percent 10" xfId="2833" xr:uid="{00000000-0005-0000-0000-0000180B0000}"/>
    <cellStyle name="Percent 10 2" xfId="2834" xr:uid="{00000000-0005-0000-0000-0000190B0000}"/>
    <cellStyle name="Percent 10 3" xfId="2980" xr:uid="{00000000-0005-0000-0000-00001A0B0000}"/>
    <cellStyle name="Percent 11" xfId="2835" xr:uid="{00000000-0005-0000-0000-00001B0B0000}"/>
    <cellStyle name="Percent 12" xfId="2978" xr:uid="{00000000-0005-0000-0000-00001C0B0000}"/>
    <cellStyle name="Percent 2" xfId="2836" xr:uid="{00000000-0005-0000-0000-00001D0B0000}"/>
    <cellStyle name="Percent 2 2" xfId="2837" xr:uid="{00000000-0005-0000-0000-00001E0B0000}"/>
    <cellStyle name="Percent 2 3" xfId="2838" xr:uid="{00000000-0005-0000-0000-00001F0B0000}"/>
    <cellStyle name="Percent 2 4" xfId="2839" xr:uid="{00000000-0005-0000-0000-0000200B0000}"/>
    <cellStyle name="Percent 3" xfId="2840" xr:uid="{00000000-0005-0000-0000-0000210B0000}"/>
    <cellStyle name="Percent 3 2" xfId="2841" xr:uid="{00000000-0005-0000-0000-0000220B0000}"/>
    <cellStyle name="Percent 4" xfId="2842" xr:uid="{00000000-0005-0000-0000-0000230B0000}"/>
    <cellStyle name="Percent 4 2" xfId="2843" xr:uid="{00000000-0005-0000-0000-0000240B0000}"/>
    <cellStyle name="Percent 4 2 2" xfId="2844" xr:uid="{00000000-0005-0000-0000-0000250B0000}"/>
    <cellStyle name="Percent 4 2 2 2" xfId="2845" xr:uid="{00000000-0005-0000-0000-0000260B0000}"/>
    <cellStyle name="Percent 4 2 2 2 2" xfId="2846" xr:uid="{00000000-0005-0000-0000-0000270B0000}"/>
    <cellStyle name="Percent 4 2 2 2 2 2" xfId="2847" xr:uid="{00000000-0005-0000-0000-0000280B0000}"/>
    <cellStyle name="Percent 4 2 2 2 3" xfId="2848" xr:uid="{00000000-0005-0000-0000-0000290B0000}"/>
    <cellStyle name="Percent 4 2 2 2 4" xfId="2849" xr:uid="{00000000-0005-0000-0000-00002A0B0000}"/>
    <cellStyle name="Percent 4 2 2 3" xfId="2850" xr:uid="{00000000-0005-0000-0000-00002B0B0000}"/>
    <cellStyle name="Percent 4 2 2 3 2" xfId="2851" xr:uid="{00000000-0005-0000-0000-00002C0B0000}"/>
    <cellStyle name="Percent 4 2 2 4" xfId="2852" xr:uid="{00000000-0005-0000-0000-00002D0B0000}"/>
    <cellStyle name="Percent 4 2 2 5" xfId="2853" xr:uid="{00000000-0005-0000-0000-00002E0B0000}"/>
    <cellStyle name="Percent 4 2 3" xfId="2854" xr:uid="{00000000-0005-0000-0000-00002F0B0000}"/>
    <cellStyle name="Percent 4 2 3 2" xfId="2855" xr:uid="{00000000-0005-0000-0000-0000300B0000}"/>
    <cellStyle name="Percent 4 2 3 2 2" xfId="2856" xr:uid="{00000000-0005-0000-0000-0000310B0000}"/>
    <cellStyle name="Percent 4 2 3 3" xfId="2857" xr:uid="{00000000-0005-0000-0000-0000320B0000}"/>
    <cellStyle name="Percent 4 2 3 4" xfId="2858" xr:uid="{00000000-0005-0000-0000-0000330B0000}"/>
    <cellStyle name="Percent 4 2 4" xfId="2859" xr:uid="{00000000-0005-0000-0000-0000340B0000}"/>
    <cellStyle name="Percent 4 2 4 2" xfId="2860" xr:uid="{00000000-0005-0000-0000-0000350B0000}"/>
    <cellStyle name="Percent 4 2 5" xfId="2861" xr:uid="{00000000-0005-0000-0000-0000360B0000}"/>
    <cellStyle name="Percent 4 2 5 2" xfId="2862" xr:uid="{00000000-0005-0000-0000-0000370B0000}"/>
    <cellStyle name="Percent 4 2 6" xfId="2863" xr:uid="{00000000-0005-0000-0000-0000380B0000}"/>
    <cellStyle name="Percent 4 2 6 2" xfId="2864" xr:uid="{00000000-0005-0000-0000-0000390B0000}"/>
    <cellStyle name="Percent 4 2 7" xfId="2865" xr:uid="{00000000-0005-0000-0000-00003A0B0000}"/>
    <cellStyle name="Percent 4 3" xfId="2866" xr:uid="{00000000-0005-0000-0000-00003B0B0000}"/>
    <cellStyle name="Percent 4 4" xfId="2867" xr:uid="{00000000-0005-0000-0000-00003C0B0000}"/>
    <cellStyle name="Percent 4 5" xfId="2868" xr:uid="{00000000-0005-0000-0000-00003D0B0000}"/>
    <cellStyle name="Percent 4 6" xfId="2869" xr:uid="{00000000-0005-0000-0000-00003E0B0000}"/>
    <cellStyle name="Percent 4 6 2" xfId="2870" xr:uid="{00000000-0005-0000-0000-00003F0B0000}"/>
    <cellStyle name="Percent 4 6 2 2" xfId="2871" xr:uid="{00000000-0005-0000-0000-0000400B0000}"/>
    <cellStyle name="Percent 4 6 2 2 2" xfId="2872" xr:uid="{00000000-0005-0000-0000-0000410B0000}"/>
    <cellStyle name="Percent 4 6 2 2 2 2" xfId="2873" xr:uid="{00000000-0005-0000-0000-0000420B0000}"/>
    <cellStyle name="Percent 4 6 2 2 3" xfId="2874" xr:uid="{00000000-0005-0000-0000-0000430B0000}"/>
    <cellStyle name="Percent 4 6 2 2 4" xfId="2875" xr:uid="{00000000-0005-0000-0000-0000440B0000}"/>
    <cellStyle name="Percent 4 6 2 3" xfId="2876" xr:uid="{00000000-0005-0000-0000-0000450B0000}"/>
    <cellStyle name="Percent 4 6 2 3 2" xfId="2877" xr:uid="{00000000-0005-0000-0000-0000460B0000}"/>
    <cellStyle name="Percent 4 6 2 4" xfId="2878" xr:uid="{00000000-0005-0000-0000-0000470B0000}"/>
    <cellStyle name="Percent 4 6 2 5" xfId="2879" xr:uid="{00000000-0005-0000-0000-0000480B0000}"/>
    <cellStyle name="Percent 4 6 3" xfId="2880" xr:uid="{00000000-0005-0000-0000-0000490B0000}"/>
    <cellStyle name="Percent 4 6 3 2" xfId="2881" xr:uid="{00000000-0005-0000-0000-00004A0B0000}"/>
    <cellStyle name="Percent 4 6 3 2 2" xfId="2882" xr:uid="{00000000-0005-0000-0000-00004B0B0000}"/>
    <cellStyle name="Percent 4 6 3 3" xfId="2883" xr:uid="{00000000-0005-0000-0000-00004C0B0000}"/>
    <cellStyle name="Percent 4 6 3 4" xfId="2884" xr:uid="{00000000-0005-0000-0000-00004D0B0000}"/>
    <cellStyle name="Percent 4 6 4" xfId="2885" xr:uid="{00000000-0005-0000-0000-00004E0B0000}"/>
    <cellStyle name="Percent 4 6 4 2" xfId="2886" xr:uid="{00000000-0005-0000-0000-00004F0B0000}"/>
    <cellStyle name="Percent 4 6 5" xfId="2887" xr:uid="{00000000-0005-0000-0000-0000500B0000}"/>
    <cellStyle name="Percent 4 6 6" xfId="2888" xr:uid="{00000000-0005-0000-0000-0000510B0000}"/>
    <cellStyle name="Percent 4 7" xfId="2889" xr:uid="{00000000-0005-0000-0000-0000520B0000}"/>
    <cellStyle name="Percent 4 8" xfId="2890" xr:uid="{00000000-0005-0000-0000-0000530B0000}"/>
    <cellStyle name="Percent 4 8 2" xfId="2891" xr:uid="{00000000-0005-0000-0000-0000540B0000}"/>
    <cellStyle name="Percent 4 8 2 2" xfId="2892" xr:uid="{00000000-0005-0000-0000-0000550B0000}"/>
    <cellStyle name="Percent 4 8 3" xfId="2893" xr:uid="{00000000-0005-0000-0000-0000560B0000}"/>
    <cellStyle name="Percent 4 8 4" xfId="2894" xr:uid="{00000000-0005-0000-0000-0000570B0000}"/>
    <cellStyle name="Percent 5" xfId="2895" xr:uid="{00000000-0005-0000-0000-0000580B0000}"/>
    <cellStyle name="Percent 5 2" xfId="2896" xr:uid="{00000000-0005-0000-0000-0000590B0000}"/>
    <cellStyle name="Percent 5 3" xfId="2897" xr:uid="{00000000-0005-0000-0000-00005A0B0000}"/>
    <cellStyle name="Percent 5 4" xfId="2898" xr:uid="{00000000-0005-0000-0000-00005B0B0000}"/>
    <cellStyle name="Percent 5 5" xfId="2899" xr:uid="{00000000-0005-0000-0000-00005C0B0000}"/>
    <cellStyle name="Percent 6" xfId="2900" xr:uid="{00000000-0005-0000-0000-00005D0B0000}"/>
    <cellStyle name="Percent 6 2" xfId="2901" xr:uid="{00000000-0005-0000-0000-00005E0B0000}"/>
    <cellStyle name="Percent 6 2 2" xfId="2902" xr:uid="{00000000-0005-0000-0000-00005F0B0000}"/>
    <cellStyle name="Percent 6 2 2 2" xfId="2903" xr:uid="{00000000-0005-0000-0000-0000600B0000}"/>
    <cellStyle name="Percent 6 2 2 2 2" xfId="2904" xr:uid="{00000000-0005-0000-0000-0000610B0000}"/>
    <cellStyle name="Percent 6 2 2 3" xfId="2905" xr:uid="{00000000-0005-0000-0000-0000620B0000}"/>
    <cellStyle name="Percent 6 2 2 4" xfId="2906" xr:uid="{00000000-0005-0000-0000-0000630B0000}"/>
    <cellStyle name="Percent 6 2 3" xfId="2907" xr:uid="{00000000-0005-0000-0000-0000640B0000}"/>
    <cellStyle name="Percent 6 2 3 2" xfId="2908" xr:uid="{00000000-0005-0000-0000-0000650B0000}"/>
    <cellStyle name="Percent 6 2 4" xfId="2909" xr:uid="{00000000-0005-0000-0000-0000660B0000}"/>
    <cellStyle name="Percent 6 2 5" xfId="2910" xr:uid="{00000000-0005-0000-0000-0000670B0000}"/>
    <cellStyle name="Percent 6 3" xfId="2911" xr:uid="{00000000-0005-0000-0000-0000680B0000}"/>
    <cellStyle name="Percent 6 3 2" xfId="2912" xr:uid="{00000000-0005-0000-0000-0000690B0000}"/>
    <cellStyle name="Percent 6 3 2 2" xfId="2913" xr:uid="{00000000-0005-0000-0000-00006A0B0000}"/>
    <cellStyle name="Percent 6 3 3" xfId="2914" xr:uid="{00000000-0005-0000-0000-00006B0B0000}"/>
    <cellStyle name="Percent 6 3 4" xfId="2915" xr:uid="{00000000-0005-0000-0000-00006C0B0000}"/>
    <cellStyle name="Percent 6 4" xfId="2916" xr:uid="{00000000-0005-0000-0000-00006D0B0000}"/>
    <cellStyle name="Percent 6 4 2" xfId="2917" xr:uid="{00000000-0005-0000-0000-00006E0B0000}"/>
    <cellStyle name="Percent 6 5" xfId="2918" xr:uid="{00000000-0005-0000-0000-00006F0B0000}"/>
    <cellStyle name="Percent 6 5 2" xfId="2919" xr:uid="{00000000-0005-0000-0000-0000700B0000}"/>
    <cellStyle name="Percent 6 6" xfId="2920" xr:uid="{00000000-0005-0000-0000-0000710B0000}"/>
    <cellStyle name="Percent 6 6 2" xfId="2921" xr:uid="{00000000-0005-0000-0000-0000720B0000}"/>
    <cellStyle name="Percent 6 7" xfId="2922" xr:uid="{00000000-0005-0000-0000-0000730B0000}"/>
    <cellStyle name="Percent 7" xfId="2923" xr:uid="{00000000-0005-0000-0000-0000740B0000}"/>
    <cellStyle name="Percent 7 2" xfId="2924" xr:uid="{00000000-0005-0000-0000-0000750B0000}"/>
    <cellStyle name="Percent 7 2 2" xfId="2925" xr:uid="{00000000-0005-0000-0000-0000760B0000}"/>
    <cellStyle name="Percent 7 2 2 2" xfId="2926" xr:uid="{00000000-0005-0000-0000-0000770B0000}"/>
    <cellStyle name="Percent 7 2 2 2 2" xfId="2927" xr:uid="{00000000-0005-0000-0000-0000780B0000}"/>
    <cellStyle name="Percent 7 2 2 3" xfId="2928" xr:uid="{00000000-0005-0000-0000-0000790B0000}"/>
    <cellStyle name="Percent 7 2 2 4" xfId="2929" xr:uid="{00000000-0005-0000-0000-00007A0B0000}"/>
    <cellStyle name="Percent 7 2 3" xfId="2930" xr:uid="{00000000-0005-0000-0000-00007B0B0000}"/>
    <cellStyle name="Percent 7 2 3 2" xfId="2931" xr:uid="{00000000-0005-0000-0000-00007C0B0000}"/>
    <cellStyle name="Percent 7 2 4" xfId="2932" xr:uid="{00000000-0005-0000-0000-00007D0B0000}"/>
    <cellStyle name="Percent 7 2 5" xfId="2933" xr:uid="{00000000-0005-0000-0000-00007E0B0000}"/>
    <cellStyle name="Percent 7 3" xfId="2934" xr:uid="{00000000-0005-0000-0000-00007F0B0000}"/>
    <cellStyle name="Percent 7 3 2" xfId="2935" xr:uid="{00000000-0005-0000-0000-0000800B0000}"/>
    <cellStyle name="Percent 7 3 2 2" xfId="2936" xr:uid="{00000000-0005-0000-0000-0000810B0000}"/>
    <cellStyle name="Percent 7 3 3" xfId="2937" xr:uid="{00000000-0005-0000-0000-0000820B0000}"/>
    <cellStyle name="Percent 7 3 4" xfId="2938" xr:uid="{00000000-0005-0000-0000-0000830B0000}"/>
    <cellStyle name="Percent 7 4" xfId="2939" xr:uid="{00000000-0005-0000-0000-0000840B0000}"/>
    <cellStyle name="Percent 7 4 2" xfId="2940" xr:uid="{00000000-0005-0000-0000-0000850B0000}"/>
    <cellStyle name="Percent 7 5" xfId="2941" xr:uid="{00000000-0005-0000-0000-0000860B0000}"/>
    <cellStyle name="Percent 7 5 2" xfId="2942" xr:uid="{00000000-0005-0000-0000-0000870B0000}"/>
    <cellStyle name="Percent 7 6" xfId="2943" xr:uid="{00000000-0005-0000-0000-0000880B0000}"/>
    <cellStyle name="Percent 7 6 2" xfId="2944" xr:uid="{00000000-0005-0000-0000-0000890B0000}"/>
    <cellStyle name="Percent 7 7" xfId="2945" xr:uid="{00000000-0005-0000-0000-00008A0B0000}"/>
    <cellStyle name="Percent 8" xfId="2946" xr:uid="{00000000-0005-0000-0000-00008B0B0000}"/>
    <cellStyle name="Percent 8 2" xfId="2947" xr:uid="{00000000-0005-0000-0000-00008C0B0000}"/>
    <cellStyle name="Percent 8 2 2" xfId="2948" xr:uid="{00000000-0005-0000-0000-00008D0B0000}"/>
    <cellStyle name="Percent 8 2 2 2" xfId="2949" xr:uid="{00000000-0005-0000-0000-00008E0B0000}"/>
    <cellStyle name="Percent 8 2 2 2 2" xfId="2950" xr:uid="{00000000-0005-0000-0000-00008F0B0000}"/>
    <cellStyle name="Percent 8 2 2 3" xfId="2951" xr:uid="{00000000-0005-0000-0000-0000900B0000}"/>
    <cellStyle name="Percent 8 2 2 4" xfId="2952" xr:uid="{00000000-0005-0000-0000-0000910B0000}"/>
    <cellStyle name="Percent 8 2 3" xfId="2953" xr:uid="{00000000-0005-0000-0000-0000920B0000}"/>
    <cellStyle name="Percent 8 2 3 2" xfId="2954" xr:uid="{00000000-0005-0000-0000-0000930B0000}"/>
    <cellStyle name="Percent 8 2 4" xfId="2955" xr:uid="{00000000-0005-0000-0000-0000940B0000}"/>
    <cellStyle name="Percent 8 2 5" xfId="2956" xr:uid="{00000000-0005-0000-0000-0000950B0000}"/>
    <cellStyle name="Percent 8 3" xfId="2957" xr:uid="{00000000-0005-0000-0000-0000960B0000}"/>
    <cellStyle name="Percent 8 3 2" xfId="2958" xr:uid="{00000000-0005-0000-0000-0000970B0000}"/>
    <cellStyle name="Percent 8 3 2 2" xfId="2959" xr:uid="{00000000-0005-0000-0000-0000980B0000}"/>
    <cellStyle name="Percent 8 3 3" xfId="2960" xr:uid="{00000000-0005-0000-0000-0000990B0000}"/>
    <cellStyle name="Percent 8 3 4" xfId="2961" xr:uid="{00000000-0005-0000-0000-00009A0B0000}"/>
    <cellStyle name="Percent 8 4" xfId="2962" xr:uid="{00000000-0005-0000-0000-00009B0B0000}"/>
    <cellStyle name="Percent 8 4 2" xfId="2963" xr:uid="{00000000-0005-0000-0000-00009C0B0000}"/>
    <cellStyle name="Percent 8 5" xfId="2964" xr:uid="{00000000-0005-0000-0000-00009D0B0000}"/>
    <cellStyle name="Percent 8 6" xfId="2965" xr:uid="{00000000-0005-0000-0000-00009E0B0000}"/>
    <cellStyle name="Percent 9" xfId="2966" xr:uid="{00000000-0005-0000-0000-00009F0B0000}"/>
    <cellStyle name="Percent 9 2" xfId="2967" xr:uid="{00000000-0005-0000-0000-0000A00B0000}"/>
    <cellStyle name="Percent 9 2 2" xfId="2968" xr:uid="{00000000-0005-0000-0000-0000A10B0000}"/>
    <cellStyle name="Percent 9 3" xfId="2969" xr:uid="{00000000-0005-0000-0000-0000A20B0000}"/>
    <cellStyle name="Percent 9 4" xfId="2970" xr:uid="{00000000-0005-0000-0000-0000A30B0000}"/>
    <cellStyle name="Title 2" xfId="2971" xr:uid="{00000000-0005-0000-0000-0000A40B0000}"/>
    <cellStyle name="Title 3" xfId="2972" xr:uid="{00000000-0005-0000-0000-0000A50B0000}"/>
    <cellStyle name="Total 2" xfId="2973" xr:uid="{00000000-0005-0000-0000-0000A60B0000}"/>
    <cellStyle name="Total 3" xfId="2974" xr:uid="{00000000-0005-0000-0000-0000A70B0000}"/>
    <cellStyle name="Warning Text 2" xfId="2975" xr:uid="{00000000-0005-0000-0000-0000A80B0000}"/>
    <cellStyle name="Warning Text 3" xfId="2976" xr:uid="{00000000-0005-0000-0000-0000A90B0000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51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brightRoom" dir="t"/>
            </a:scene3d>
            <a:sp3d prstMaterial="flat">
              <a:bevelT w="50800" h="101600" prst="angle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347-4280-B778-5DE6658AA52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347-4280-B778-5DE6658AA52C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347-4280-B778-5DE6658AA52C}"/>
              </c:ext>
            </c:extLst>
          </c:dPt>
          <c:dLbls>
            <c:dLbl>
              <c:idx val="0"/>
              <c:layout>
                <c:manualLayout>
                  <c:x val="0.13888888888888898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47-4280-B778-5DE6658AA52C}"/>
                </c:ext>
              </c:extLst>
            </c:dLbl>
            <c:dLbl>
              <c:idx val="1"/>
              <c:layout>
                <c:manualLayout>
                  <c:x val="-0.12777777777777782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47-4280-B778-5DE6658AA52C}"/>
                </c:ext>
              </c:extLst>
            </c:dLbl>
            <c:dLbl>
              <c:idx val="2"/>
              <c:layout>
                <c:manualLayout>
                  <c:x val="-0.14444444444444446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47-4280-B778-5DE6658AA5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'App 2-Totals'!$O$7:$Q$7</c:f>
              <c:strCache>
                <c:ptCount val="3"/>
                <c:pt idx="0">
                  <c:v>Residual</c:v>
                </c:pt>
                <c:pt idx="1">
                  <c:v>Recycling</c:v>
                </c:pt>
                <c:pt idx="2">
                  <c:v>Organics</c:v>
                </c:pt>
              </c:strCache>
            </c:strRef>
          </c:cat>
          <c:val>
            <c:numRef>
              <c:f>'App 2-Totals'!$O$8:$Q$8</c:f>
              <c:numCache>
                <c:formatCode>_-* #,##0_-;\-* #,##0_-;_-* "-"??_-;_-@_-</c:formatCode>
                <c:ptCount val="3"/>
                <c:pt idx="0">
                  <c:v>2122311.42</c:v>
                </c:pt>
                <c:pt idx="1">
                  <c:v>804189.08000000007</c:v>
                </c:pt>
                <c:pt idx="2">
                  <c:v>697702.01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7-4280-B778-5DE6658AA5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abs.gov.au/icons/ecblank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78</xdr:row>
      <xdr:rowOff>0</xdr:rowOff>
    </xdr:from>
    <xdr:to>
      <xdr:col>5</xdr:col>
      <xdr:colOff>9525</xdr:colOff>
      <xdr:row>78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5</xdr:col>
      <xdr:colOff>9525</xdr:colOff>
      <xdr:row>78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263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94</xdr:row>
      <xdr:rowOff>0</xdr:rowOff>
    </xdr:from>
    <xdr:to>
      <xdr:col>5</xdr:col>
      <xdr:colOff>9525</xdr:colOff>
      <xdr:row>94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522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94</xdr:row>
      <xdr:rowOff>0</xdr:rowOff>
    </xdr:from>
    <xdr:to>
      <xdr:col>5</xdr:col>
      <xdr:colOff>9525</xdr:colOff>
      <xdr:row>94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048000" y="1522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52209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78</xdr:row>
      <xdr:rowOff>0</xdr:rowOff>
    </xdr:from>
    <xdr:to>
      <xdr:col>6</xdr:col>
      <xdr:colOff>0</xdr:colOff>
      <xdr:row>78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57600" y="126301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6800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16</xdr:row>
      <xdr:rowOff>0</xdr:rowOff>
    </xdr:from>
    <xdr:to>
      <xdr:col>21</xdr:col>
      <xdr:colOff>0</xdr:colOff>
      <xdr:row>16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582400" y="25908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88C9C84D-EB61-45C6-9D87-D618F450E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E77872E6-6B38-498A-AB3C-A13AD3AB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C9587145-345B-4141-A2FB-D5DDAB63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3EE14698-CBCE-43E5-8256-68CF8EA1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64E0F08E-37D8-4B37-9435-5767B5A6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7540AD0D-0370-4760-A071-4D51EDEB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41ED588C-F78A-44DB-9846-BB613A3E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61E58DE9-7847-44B3-9C5F-349D9AFF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3760D999-1096-40C2-8E04-5C26992A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41157A18-16E5-4F75-8E6F-BDA5ECBE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163DBAB4-ED1D-4458-B98D-785DE959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E5802E5-1E60-4562-8945-715704EB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54" name="Picture 108" descr="http://www.abs.gov.au/icons/ecblank.gif">
          <a:extLst>
            <a:ext uri="{FF2B5EF4-FFF2-40B4-BE49-F238E27FC236}">
              <a16:creationId xmlns:a16="http://schemas.microsoft.com/office/drawing/2014/main" id="{375CD124-7406-4467-BC81-1F9D32BB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0</xdr:colOff>
      <xdr:row>80</xdr:row>
      <xdr:rowOff>9525</xdr:rowOff>
    </xdr:to>
    <xdr:pic>
      <xdr:nvPicPr>
        <xdr:cNvPr id="55" name="Picture 109" descr="http://www.abs.gov.au/icons/ecblank.gif">
          <a:extLst>
            <a:ext uri="{FF2B5EF4-FFF2-40B4-BE49-F238E27FC236}">
              <a16:creationId xmlns:a16="http://schemas.microsoft.com/office/drawing/2014/main" id="{E48FA646-3E90-4DFB-84CF-48027A7F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56" name="Picture 110" descr="http://www.abs.gov.au/icons/ecblank.gif">
          <a:extLst>
            <a:ext uri="{FF2B5EF4-FFF2-40B4-BE49-F238E27FC236}">
              <a16:creationId xmlns:a16="http://schemas.microsoft.com/office/drawing/2014/main" id="{0FC241B8-3563-48E5-A013-C580D2EC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96</xdr:row>
      <xdr:rowOff>0</xdr:rowOff>
    </xdr:from>
    <xdr:to>
      <xdr:col>6</xdr:col>
      <xdr:colOff>0</xdr:colOff>
      <xdr:row>96</xdr:row>
      <xdr:rowOff>9525</xdr:rowOff>
    </xdr:to>
    <xdr:pic>
      <xdr:nvPicPr>
        <xdr:cNvPr id="57" name="Picture 111" descr="http://www.abs.gov.au/icons/ecblank.gif">
          <a:extLst>
            <a:ext uri="{FF2B5EF4-FFF2-40B4-BE49-F238E27FC236}">
              <a16:creationId xmlns:a16="http://schemas.microsoft.com/office/drawing/2014/main" id="{4DB36DD9-2194-4D7B-82BD-0C89EF08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9069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CCC014B4-A9A7-4F06-A356-D8523CA5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1FF4F64C-C188-44B3-AD38-B624FC86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52C600CE-1024-4A79-AB7C-38EE9FBC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4BD0965F-F810-4631-8F4E-D42A2042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2" name="Picture 61" descr="http://www.abs.gov.au/icons/ecblank.gif">
          <a:extLst>
            <a:ext uri="{FF2B5EF4-FFF2-40B4-BE49-F238E27FC236}">
              <a16:creationId xmlns:a16="http://schemas.microsoft.com/office/drawing/2014/main" id="{61931CE5-5E0A-48A5-A622-999AF9C1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63" name="Picture 62" descr="http://www.abs.gov.au/icons/ecblank.gif">
          <a:extLst>
            <a:ext uri="{FF2B5EF4-FFF2-40B4-BE49-F238E27FC236}">
              <a16:creationId xmlns:a16="http://schemas.microsoft.com/office/drawing/2014/main" id="{B7127496-7FA0-4546-93C8-383D3A2B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64" name="Picture 63" descr="http://www.abs.gov.au/icons/ecblank.gif">
          <a:extLst>
            <a:ext uri="{FF2B5EF4-FFF2-40B4-BE49-F238E27FC236}">
              <a16:creationId xmlns:a16="http://schemas.microsoft.com/office/drawing/2014/main" id="{3CEE7CE9-BB96-4587-8C06-AA4D0927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65" name="Picture 64" descr="http://www.abs.gov.au/icons/ecblank.gif">
          <a:extLst>
            <a:ext uri="{FF2B5EF4-FFF2-40B4-BE49-F238E27FC236}">
              <a16:creationId xmlns:a16="http://schemas.microsoft.com/office/drawing/2014/main" id="{69FB9B7B-8520-4E74-AD39-8EA150A7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66" name="Picture 65" descr="http://www.abs.gov.au/icons/ecblank.gif">
          <a:extLst>
            <a:ext uri="{FF2B5EF4-FFF2-40B4-BE49-F238E27FC236}">
              <a16:creationId xmlns:a16="http://schemas.microsoft.com/office/drawing/2014/main" id="{05A1C5E9-614A-4AB7-86E2-56AC854C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9525</xdr:rowOff>
    </xdr:to>
    <xdr:pic>
      <xdr:nvPicPr>
        <xdr:cNvPr id="67" name="Picture 66" descr="http://www.abs.gov.au/icons/ecblank.gif">
          <a:extLst>
            <a:ext uri="{FF2B5EF4-FFF2-40B4-BE49-F238E27FC236}">
              <a16:creationId xmlns:a16="http://schemas.microsoft.com/office/drawing/2014/main" id="{92D4610E-3788-4A20-88B3-13CC7FB6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68" name="Picture 67" descr="http://www.abs.gov.au/icons/ecblank.gif">
          <a:extLst>
            <a:ext uri="{FF2B5EF4-FFF2-40B4-BE49-F238E27FC236}">
              <a16:creationId xmlns:a16="http://schemas.microsoft.com/office/drawing/2014/main" id="{7534FD7F-AEF6-4378-AFB7-304FFCB2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95</xdr:row>
      <xdr:rowOff>0</xdr:rowOff>
    </xdr:from>
    <xdr:to>
      <xdr:col>8</xdr:col>
      <xdr:colOff>0</xdr:colOff>
      <xdr:row>95</xdr:row>
      <xdr:rowOff>9525</xdr:rowOff>
    </xdr:to>
    <xdr:pic>
      <xdr:nvPicPr>
        <xdr:cNvPr id="69" name="Picture 68" descr="http://www.abs.gov.au/icons/ecblank.gif">
          <a:extLst>
            <a:ext uri="{FF2B5EF4-FFF2-40B4-BE49-F238E27FC236}">
              <a16:creationId xmlns:a16="http://schemas.microsoft.com/office/drawing/2014/main" id="{43080440-DFCC-4DDE-BFE2-BDB0226AF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70" name="Picture 108" descr="http://www.abs.gov.au/icons/ecblank.gif">
          <a:extLst>
            <a:ext uri="{FF2B5EF4-FFF2-40B4-BE49-F238E27FC236}">
              <a16:creationId xmlns:a16="http://schemas.microsoft.com/office/drawing/2014/main" id="{F8F8FFA2-88AB-45E8-9FB6-8FFF7EE8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79</xdr:row>
      <xdr:rowOff>0</xdr:rowOff>
    </xdr:from>
    <xdr:to>
      <xdr:col>6</xdr:col>
      <xdr:colOff>0</xdr:colOff>
      <xdr:row>79</xdr:row>
      <xdr:rowOff>9525</xdr:rowOff>
    </xdr:to>
    <xdr:pic>
      <xdr:nvPicPr>
        <xdr:cNvPr id="71" name="Picture 109" descr="http://www.abs.gov.au/icons/ecblank.gif">
          <a:extLst>
            <a:ext uri="{FF2B5EF4-FFF2-40B4-BE49-F238E27FC236}">
              <a16:creationId xmlns:a16="http://schemas.microsoft.com/office/drawing/2014/main" id="{4D4B0694-0C4C-4793-B215-7F9A9573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5830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72" name="Picture 110" descr="http://www.abs.gov.au/icons/ecblank.gif">
          <a:extLst>
            <a:ext uri="{FF2B5EF4-FFF2-40B4-BE49-F238E27FC236}">
              <a16:creationId xmlns:a16="http://schemas.microsoft.com/office/drawing/2014/main" id="{170C17ED-8F78-4AC8-97B2-7D9E4AA1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95</xdr:row>
      <xdr:rowOff>0</xdr:rowOff>
    </xdr:from>
    <xdr:to>
      <xdr:col>6</xdr:col>
      <xdr:colOff>0</xdr:colOff>
      <xdr:row>95</xdr:row>
      <xdr:rowOff>9525</xdr:rowOff>
    </xdr:to>
    <xdr:pic>
      <xdr:nvPicPr>
        <xdr:cNvPr id="73" name="Picture 111" descr="http://www.abs.gov.au/icons/ecblank.gif">
          <a:extLst>
            <a:ext uri="{FF2B5EF4-FFF2-40B4-BE49-F238E27FC236}">
              <a16:creationId xmlns:a16="http://schemas.microsoft.com/office/drawing/2014/main" id="{40702CE1-D7F5-4FC5-BA93-B55937B4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29100" y="188785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10</xdr:row>
      <xdr:rowOff>57150</xdr:rowOff>
    </xdr:from>
    <xdr:to>
      <xdr:col>20</xdr:col>
      <xdr:colOff>247650</xdr:colOff>
      <xdr:row>28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040B05-56BC-4874-8213-B336A386E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26</xdr:col>
      <xdr:colOff>452124</xdr:colOff>
      <xdr:row>67</xdr:row>
      <xdr:rowOff>97208</xdr:rowOff>
    </xdr:to>
    <xdr:grpSp>
      <xdr:nvGrpSpPr>
        <xdr:cNvPr id="124" name="Group 123">
          <a:extLst>
            <a:ext uri="{FF2B5EF4-FFF2-40B4-BE49-F238E27FC236}">
              <a16:creationId xmlns:a16="http://schemas.microsoft.com/office/drawing/2014/main" id="{476E0A6C-2AA9-4426-BA1F-EB16ACF5AFBC}"/>
            </a:ext>
          </a:extLst>
        </xdr:cNvPr>
        <xdr:cNvGrpSpPr/>
      </xdr:nvGrpSpPr>
      <xdr:grpSpPr>
        <a:xfrm>
          <a:off x="8896350" y="4514850"/>
          <a:ext cx="8376924" cy="5793158"/>
          <a:chOff x="251520" y="332656"/>
          <a:chExt cx="8376924" cy="5793158"/>
        </a:xfrm>
      </xdr:grpSpPr>
      <xdr:grpSp>
        <xdr:nvGrpSpPr>
          <xdr:cNvPr id="125" name="Group 124">
            <a:extLst>
              <a:ext uri="{FF2B5EF4-FFF2-40B4-BE49-F238E27FC236}">
                <a16:creationId xmlns:a16="http://schemas.microsoft.com/office/drawing/2014/main" id="{0217EAA4-0F0D-43B4-87A7-0BF9D9C0EF8D}"/>
              </a:ext>
            </a:extLst>
          </xdr:cNvPr>
          <xdr:cNvGrpSpPr/>
        </xdr:nvGrpSpPr>
        <xdr:grpSpPr>
          <a:xfrm>
            <a:off x="616711" y="1105708"/>
            <a:ext cx="8011733" cy="5020106"/>
            <a:chOff x="865943" y="1077662"/>
            <a:chExt cx="8011733" cy="5020106"/>
          </a:xfrm>
        </xdr:grpSpPr>
        <xdr:grpSp>
          <xdr:nvGrpSpPr>
            <xdr:cNvPr id="127" name="Group 126">
              <a:extLst>
                <a:ext uri="{FF2B5EF4-FFF2-40B4-BE49-F238E27FC236}">
                  <a16:creationId xmlns:a16="http://schemas.microsoft.com/office/drawing/2014/main" id="{CD886A8B-37DF-4408-A930-34F74C6779C9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865943" y="1077662"/>
              <a:ext cx="3181818" cy="4306858"/>
              <a:chOff x="0" y="0"/>
              <a:chExt cx="2394689" cy="3294366"/>
            </a:xfrm>
            <a:solidFill>
              <a:schemeClr val="tx1">
                <a:lumMod val="75000"/>
                <a:lumOff val="25000"/>
              </a:schemeClr>
            </a:solidFill>
            <a:effectLst/>
          </xdr:grpSpPr>
          <xdr:sp macro="" textlink="">
            <xdr:nvSpPr>
              <xdr:cNvPr id="148" name="Trapezoid 147">
                <a:extLst>
                  <a:ext uri="{FF2B5EF4-FFF2-40B4-BE49-F238E27FC236}">
                    <a16:creationId xmlns:a16="http://schemas.microsoft.com/office/drawing/2014/main" id="{1FBF2067-89E4-4005-A57E-C1122D55417F}"/>
                  </a:ext>
                </a:extLst>
              </xdr:cNvPr>
              <xdr:cNvSpPr/>
            </xdr:nvSpPr>
            <xdr:spPr>
              <a:xfrm rot="10800000">
                <a:off x="306457" y="90010"/>
                <a:ext cx="2016224" cy="3168352"/>
              </a:xfrm>
              <a:prstGeom prst="trapezoid">
                <a:avLst>
                  <a:gd name="adj" fmla="val 6373"/>
                </a:avLst>
              </a:prstGeom>
              <a:grp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9" name="Oval 148">
                <a:extLst>
                  <a:ext uri="{FF2B5EF4-FFF2-40B4-BE49-F238E27FC236}">
                    <a16:creationId xmlns:a16="http://schemas.microsoft.com/office/drawing/2014/main" id="{3755345A-BCC2-4F71-8E94-26853610C0B2}"/>
                  </a:ext>
                </a:extLst>
              </xdr:cNvPr>
              <xdr:cNvSpPr/>
            </xdr:nvSpPr>
            <xdr:spPr>
              <a:xfrm>
                <a:off x="207977" y="2574286"/>
                <a:ext cx="720081" cy="720080"/>
              </a:xfrm>
              <a:prstGeom prst="ellipse">
                <a:avLst/>
              </a:prstGeom>
              <a:grp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50" name="Oval 149">
                <a:extLst>
                  <a:ext uri="{FF2B5EF4-FFF2-40B4-BE49-F238E27FC236}">
                    <a16:creationId xmlns:a16="http://schemas.microsoft.com/office/drawing/2014/main" id="{6872CA86-6892-4836-953C-AEF92772F397}"/>
                  </a:ext>
                </a:extLst>
              </xdr:cNvPr>
              <xdr:cNvSpPr/>
            </xdr:nvSpPr>
            <xdr:spPr>
              <a:xfrm>
                <a:off x="460900" y="2826314"/>
                <a:ext cx="214131" cy="216024"/>
              </a:xfrm>
              <a:prstGeom prst="ellipse">
                <a:avLst/>
              </a:prstGeom>
              <a:grpFill/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51" name="Snip and Round Single Corner Rectangle 19">
                <a:extLst>
                  <a:ext uri="{FF2B5EF4-FFF2-40B4-BE49-F238E27FC236}">
                    <a16:creationId xmlns:a16="http://schemas.microsoft.com/office/drawing/2014/main" id="{AB8D97A0-050D-4D29-B49C-352F825E2B7C}"/>
                  </a:ext>
                </a:extLst>
              </xdr:cNvPr>
              <xdr:cNvSpPr/>
            </xdr:nvSpPr>
            <xdr:spPr>
              <a:xfrm>
                <a:off x="90433" y="18002"/>
                <a:ext cx="2304256" cy="288032"/>
              </a:xfrm>
              <a:prstGeom prst="snipRoundRect">
                <a:avLst/>
              </a:prstGeom>
              <a:solidFill>
                <a:srgbClr val="FF0000"/>
              </a:solidFill>
              <a:ln>
                <a:solidFill>
                  <a:schemeClr val="accent4">
                    <a:lumMod val="50000"/>
                  </a:schemeClr>
                </a:solidFill>
              </a:ln>
            </xdr:spPr>
            <xdr:style>
              <a:lnRef idx="2">
                <a:schemeClr val="accent4">
                  <a:shade val="50000"/>
                </a:schemeClr>
              </a:lnRef>
              <a:fillRef idx="1">
                <a:schemeClr val="accent4"/>
              </a:fillRef>
              <a:effectRef idx="0">
                <a:schemeClr val="accent4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52" name="Oval 151">
                <a:extLst>
                  <a:ext uri="{FF2B5EF4-FFF2-40B4-BE49-F238E27FC236}">
                    <a16:creationId xmlns:a16="http://schemas.microsoft.com/office/drawing/2014/main" id="{CC9B6757-2691-4194-B232-BF12C01A774C}"/>
                  </a:ext>
                </a:extLst>
              </xdr:cNvPr>
              <xdr:cNvSpPr/>
            </xdr:nvSpPr>
            <xdr:spPr>
              <a:xfrm>
                <a:off x="0" y="0"/>
                <a:ext cx="306456" cy="324036"/>
              </a:xfrm>
              <a:prstGeom prst="ellipse">
                <a:avLst/>
              </a:prstGeom>
              <a:solidFill>
                <a:srgbClr val="FF0000"/>
              </a:solidFill>
              <a:ln>
                <a:solidFill>
                  <a:schemeClr val="accent4">
                    <a:lumMod val="50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53" name="Oval 152">
                <a:extLst>
                  <a:ext uri="{FF2B5EF4-FFF2-40B4-BE49-F238E27FC236}">
                    <a16:creationId xmlns:a16="http://schemas.microsoft.com/office/drawing/2014/main" id="{C384D7FF-6BEA-452C-886B-79097FBC776A}"/>
                  </a:ext>
                </a:extLst>
              </xdr:cNvPr>
              <xdr:cNvSpPr/>
            </xdr:nvSpPr>
            <xdr:spPr>
              <a:xfrm>
                <a:off x="99695" y="116519"/>
                <a:ext cx="107065" cy="108012"/>
              </a:xfrm>
              <a:prstGeom prst="ellipse">
                <a:avLst/>
              </a:prstGeom>
              <a:solidFill>
                <a:srgbClr val="FF0000"/>
              </a:solidFill>
              <a:ln>
                <a:solidFill>
                  <a:schemeClr val="accent4">
                    <a:lumMod val="50000"/>
                  </a:schemeClr>
                </a:solidFill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</xdr:grpSp>
        <xdr:grpSp>
          <xdr:nvGrpSpPr>
            <xdr:cNvPr id="128" name="Group 127">
              <a:extLst>
                <a:ext uri="{FF2B5EF4-FFF2-40B4-BE49-F238E27FC236}">
                  <a16:creationId xmlns:a16="http://schemas.microsoft.com/office/drawing/2014/main" id="{E192C430-5C5A-4FB1-9A63-68EC619A0DF3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4347016" y="2748294"/>
              <a:ext cx="1960874" cy="2636226"/>
              <a:chOff x="1594402" y="340393"/>
              <a:chExt cx="2394689" cy="3294366"/>
            </a:xfrm>
          </xdr:grpSpPr>
          <xdr:sp macro="" textlink="">
            <xdr:nvSpPr>
              <xdr:cNvPr id="142" name="Trapezoid 141">
                <a:extLst>
                  <a:ext uri="{FF2B5EF4-FFF2-40B4-BE49-F238E27FC236}">
                    <a16:creationId xmlns:a16="http://schemas.microsoft.com/office/drawing/2014/main" id="{C7C0AD95-C2B4-4073-A0AD-EDDA9992BE25}"/>
                  </a:ext>
                </a:extLst>
              </xdr:cNvPr>
              <xdr:cNvSpPr/>
            </xdr:nvSpPr>
            <xdr:spPr>
              <a:xfrm rot="10800000">
                <a:off x="1900859" y="430403"/>
                <a:ext cx="2016224" cy="3168352"/>
              </a:xfrm>
              <a:prstGeom prst="trapezoid">
                <a:avLst>
                  <a:gd name="adj" fmla="val 6373"/>
                </a:avLst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3" name="Oval 142">
                <a:extLst>
                  <a:ext uri="{FF2B5EF4-FFF2-40B4-BE49-F238E27FC236}">
                    <a16:creationId xmlns:a16="http://schemas.microsoft.com/office/drawing/2014/main" id="{69CC190E-92CE-4297-BE6F-57EC5B521C5D}"/>
                  </a:ext>
                </a:extLst>
              </xdr:cNvPr>
              <xdr:cNvSpPr/>
            </xdr:nvSpPr>
            <xdr:spPr>
              <a:xfrm>
                <a:off x="1802379" y="2914679"/>
                <a:ext cx="720081" cy="720080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4" name="Oval 143">
                <a:extLst>
                  <a:ext uri="{FF2B5EF4-FFF2-40B4-BE49-F238E27FC236}">
                    <a16:creationId xmlns:a16="http://schemas.microsoft.com/office/drawing/2014/main" id="{763C0E9A-45CE-4CB2-B778-A8F83C212A04}"/>
                  </a:ext>
                </a:extLst>
              </xdr:cNvPr>
              <xdr:cNvSpPr/>
            </xdr:nvSpPr>
            <xdr:spPr>
              <a:xfrm>
                <a:off x="2055302" y="3166707"/>
                <a:ext cx="214131" cy="216024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5" name="Snip and Round Single Corner Rectangle 13">
                <a:extLst>
                  <a:ext uri="{FF2B5EF4-FFF2-40B4-BE49-F238E27FC236}">
                    <a16:creationId xmlns:a16="http://schemas.microsoft.com/office/drawing/2014/main" id="{B429BA9F-6171-499A-B555-19CCCB08E182}"/>
                  </a:ext>
                </a:extLst>
              </xdr:cNvPr>
              <xdr:cNvSpPr/>
            </xdr:nvSpPr>
            <xdr:spPr>
              <a:xfrm>
                <a:off x="1684835" y="358395"/>
                <a:ext cx="2304256" cy="288032"/>
              </a:xfrm>
              <a:prstGeom prst="snipRoundRect">
                <a:avLst/>
              </a:prstGeom>
              <a:solidFill>
                <a:srgbClr val="FFFF00"/>
              </a:solidFill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6" name="Oval 145">
                <a:extLst>
                  <a:ext uri="{FF2B5EF4-FFF2-40B4-BE49-F238E27FC236}">
                    <a16:creationId xmlns:a16="http://schemas.microsoft.com/office/drawing/2014/main" id="{9189E740-0DD5-4E07-8440-16F5C7E645E1}"/>
                  </a:ext>
                </a:extLst>
              </xdr:cNvPr>
              <xdr:cNvSpPr/>
            </xdr:nvSpPr>
            <xdr:spPr>
              <a:xfrm>
                <a:off x="1594402" y="340393"/>
                <a:ext cx="306456" cy="324036"/>
              </a:xfrm>
              <a:prstGeom prst="ellipse">
                <a:avLst/>
              </a:prstGeom>
              <a:ln/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7" name="Oval 146">
                <a:extLst>
                  <a:ext uri="{FF2B5EF4-FFF2-40B4-BE49-F238E27FC236}">
                    <a16:creationId xmlns:a16="http://schemas.microsoft.com/office/drawing/2014/main" id="{4D011D43-BD29-489E-8F30-31B4A5F5A74F}"/>
                  </a:ext>
                </a:extLst>
              </xdr:cNvPr>
              <xdr:cNvSpPr/>
            </xdr:nvSpPr>
            <xdr:spPr>
              <a:xfrm>
                <a:off x="1694097" y="456912"/>
                <a:ext cx="107065" cy="108012"/>
              </a:xfrm>
              <a:prstGeom prst="ellipse">
                <a:avLst/>
              </a:prstGeom>
              <a:ln/>
            </xdr:spPr>
            <xdr:style>
              <a:lnRef idx="2">
                <a:schemeClr val="accent2">
                  <a:shade val="50000"/>
                </a:schemeClr>
              </a:lnRef>
              <a:fillRef idx="1">
                <a:schemeClr val="accent2"/>
              </a:fillRef>
              <a:effectRef idx="0">
                <a:schemeClr val="accent2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</xdr:grpSp>
        <xdr:grpSp>
          <xdr:nvGrpSpPr>
            <xdr:cNvPr id="129" name="Group 128">
              <a:extLst>
                <a:ext uri="{FF2B5EF4-FFF2-40B4-BE49-F238E27FC236}">
                  <a16:creationId xmlns:a16="http://schemas.microsoft.com/office/drawing/2014/main" id="{F79072B4-3B0C-455E-9FD2-F9F929511844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6738604" y="2836222"/>
              <a:ext cx="1889840" cy="2548297"/>
              <a:chOff x="2731051" y="334043"/>
              <a:chExt cx="2394689" cy="3294366"/>
            </a:xfrm>
          </xdr:grpSpPr>
          <xdr:sp macro="" textlink="">
            <xdr:nvSpPr>
              <xdr:cNvPr id="136" name="Trapezoid 135">
                <a:extLst>
                  <a:ext uri="{FF2B5EF4-FFF2-40B4-BE49-F238E27FC236}">
                    <a16:creationId xmlns:a16="http://schemas.microsoft.com/office/drawing/2014/main" id="{D2DD04F1-784E-445B-A813-9372A8848EFE}"/>
                  </a:ext>
                </a:extLst>
              </xdr:cNvPr>
              <xdr:cNvSpPr/>
            </xdr:nvSpPr>
            <xdr:spPr>
              <a:xfrm rot="10800000">
                <a:off x="3037508" y="424053"/>
                <a:ext cx="2016224" cy="3168352"/>
              </a:xfrm>
              <a:prstGeom prst="trapezoid">
                <a:avLst>
                  <a:gd name="adj" fmla="val 6373"/>
                </a:avLst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37" name="Oval 136">
                <a:extLst>
                  <a:ext uri="{FF2B5EF4-FFF2-40B4-BE49-F238E27FC236}">
                    <a16:creationId xmlns:a16="http://schemas.microsoft.com/office/drawing/2014/main" id="{A9D4CFF9-B12F-415F-9FF9-5A27736F3998}"/>
                  </a:ext>
                </a:extLst>
              </xdr:cNvPr>
              <xdr:cNvSpPr/>
            </xdr:nvSpPr>
            <xdr:spPr>
              <a:xfrm>
                <a:off x="2939028" y="2908329"/>
                <a:ext cx="720081" cy="720080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38" name="Oval 137">
                <a:extLst>
                  <a:ext uri="{FF2B5EF4-FFF2-40B4-BE49-F238E27FC236}">
                    <a16:creationId xmlns:a16="http://schemas.microsoft.com/office/drawing/2014/main" id="{6089FC89-6A21-411F-BDF7-C4CDEF3ADF97}"/>
                  </a:ext>
                </a:extLst>
              </xdr:cNvPr>
              <xdr:cNvSpPr/>
            </xdr:nvSpPr>
            <xdr:spPr>
              <a:xfrm>
                <a:off x="3191951" y="3160357"/>
                <a:ext cx="214131" cy="216024"/>
              </a:xfrm>
              <a:prstGeom prst="ellipse">
                <a:avLst/>
              </a:prstGeom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39" name="Snip and Round Single Corner Rectangle 7">
                <a:extLst>
                  <a:ext uri="{FF2B5EF4-FFF2-40B4-BE49-F238E27FC236}">
                    <a16:creationId xmlns:a16="http://schemas.microsoft.com/office/drawing/2014/main" id="{ED2A3D73-2F26-4B1C-B5D1-A302049D0EBE}"/>
                  </a:ext>
                </a:extLst>
              </xdr:cNvPr>
              <xdr:cNvSpPr/>
            </xdr:nvSpPr>
            <xdr:spPr>
              <a:xfrm>
                <a:off x="2821484" y="352045"/>
                <a:ext cx="2304256" cy="288032"/>
              </a:xfrm>
              <a:prstGeom prst="snipRoundRect">
                <a:avLst/>
              </a:prstGeom>
              <a:solidFill>
                <a:schemeClr val="accent3"/>
              </a:solidFill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0" name="Oval 139">
                <a:extLst>
                  <a:ext uri="{FF2B5EF4-FFF2-40B4-BE49-F238E27FC236}">
                    <a16:creationId xmlns:a16="http://schemas.microsoft.com/office/drawing/2014/main" id="{2C587452-98CB-4F86-926A-1166F811944D}"/>
                  </a:ext>
                </a:extLst>
              </xdr:cNvPr>
              <xdr:cNvSpPr/>
            </xdr:nvSpPr>
            <xdr:spPr>
              <a:xfrm>
                <a:off x="2731051" y="334043"/>
                <a:ext cx="306456" cy="324036"/>
              </a:xfrm>
              <a:prstGeom prst="ellipse">
                <a:avLst/>
              </a:prstGeom>
              <a:ln/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  <xdr:sp macro="" textlink="">
            <xdr:nvSpPr>
              <xdr:cNvPr id="141" name="Oval 140">
                <a:extLst>
                  <a:ext uri="{FF2B5EF4-FFF2-40B4-BE49-F238E27FC236}">
                    <a16:creationId xmlns:a16="http://schemas.microsoft.com/office/drawing/2014/main" id="{62B49FD2-FAE2-4499-B3DB-B0DFFBA0BC5E}"/>
                  </a:ext>
                </a:extLst>
              </xdr:cNvPr>
              <xdr:cNvSpPr/>
            </xdr:nvSpPr>
            <xdr:spPr>
              <a:xfrm>
                <a:off x="2830746" y="450562"/>
                <a:ext cx="107065" cy="108012"/>
              </a:xfrm>
              <a:prstGeom prst="ellipse">
                <a:avLst/>
              </a:prstGeom>
              <a:ln/>
            </xdr:spPr>
            <xdr:style>
              <a:lnRef idx="2">
                <a:schemeClr val="accent5">
                  <a:shade val="50000"/>
                </a:schemeClr>
              </a:lnRef>
              <a:fillRef idx="1">
                <a:schemeClr val="accent5"/>
              </a:fillRef>
              <a:effectRef idx="0">
                <a:schemeClr val="accent5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en-GB"/>
              </a:p>
            </xdr:txBody>
          </xdr:sp>
        </xdr:grpSp>
        <xdr:sp macro="" textlink="">
          <xdr:nvSpPr>
            <xdr:cNvPr id="130" name="TextBox 22">
              <a:extLst>
                <a:ext uri="{FF2B5EF4-FFF2-40B4-BE49-F238E27FC236}">
                  <a16:creationId xmlns:a16="http://schemas.microsoft.com/office/drawing/2014/main" id="{4C2C015D-7A73-4142-B6CE-7B1A74149970}"/>
                </a:ext>
              </a:extLst>
            </xdr:cNvPr>
            <xdr:cNvSpPr txBox="1"/>
          </xdr:nvSpPr>
          <xdr:spPr>
            <a:xfrm>
              <a:off x="1510966" y="5728436"/>
              <a:ext cx="2203282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/>
                <a:t>Residual Waste</a:t>
              </a:r>
            </a:p>
          </xdr:txBody>
        </xdr:sp>
        <xdr:sp macro="" textlink="">
          <xdr:nvSpPr>
            <xdr:cNvPr id="131" name="TextBox 23">
              <a:extLst>
                <a:ext uri="{FF2B5EF4-FFF2-40B4-BE49-F238E27FC236}">
                  <a16:creationId xmlns:a16="http://schemas.microsoft.com/office/drawing/2014/main" id="{54E0812C-B3C8-412B-9FD1-8B810DA43912}"/>
                </a:ext>
              </a:extLst>
            </xdr:cNvPr>
            <xdr:cNvSpPr txBox="1"/>
          </xdr:nvSpPr>
          <xdr:spPr>
            <a:xfrm>
              <a:off x="4321800" y="5728436"/>
              <a:ext cx="2203282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/>
                <a:t>Dry Recyclables</a:t>
              </a:r>
            </a:p>
          </xdr:txBody>
        </xdr:sp>
        <xdr:sp macro="" textlink="">
          <xdr:nvSpPr>
            <xdr:cNvPr id="132" name="TextBox 24">
              <a:extLst>
                <a:ext uri="{FF2B5EF4-FFF2-40B4-BE49-F238E27FC236}">
                  <a16:creationId xmlns:a16="http://schemas.microsoft.com/office/drawing/2014/main" id="{F57BBD2C-9456-4EC1-BAB6-760C65AB37E5}"/>
                </a:ext>
              </a:extLst>
            </xdr:cNvPr>
            <xdr:cNvSpPr txBox="1"/>
          </xdr:nvSpPr>
          <xdr:spPr>
            <a:xfrm>
              <a:off x="6674394" y="5728436"/>
              <a:ext cx="2203282" cy="36933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/>
                <a:t>Organic Waste</a:t>
              </a:r>
            </a:p>
          </xdr:txBody>
        </xdr:sp>
        <xdr:sp macro="" textlink="">
          <xdr:nvSpPr>
            <xdr:cNvPr id="133" name="TextBox 25">
              <a:extLst>
                <a:ext uri="{FF2B5EF4-FFF2-40B4-BE49-F238E27FC236}">
                  <a16:creationId xmlns:a16="http://schemas.microsoft.com/office/drawing/2014/main" id="{B1D748E6-6EF1-4509-948A-D14EAB4E2F9E}"/>
                </a:ext>
              </a:extLst>
            </xdr:cNvPr>
            <xdr:cNvSpPr txBox="1"/>
          </xdr:nvSpPr>
          <xdr:spPr>
            <a:xfrm>
              <a:off x="1415289" y="2943227"/>
              <a:ext cx="2203282" cy="254557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>
                  <a:solidFill>
                    <a:schemeClr val="bg1"/>
                  </a:solidFill>
                </a:rPr>
                <a:t>2.12 million   tonnes</a:t>
              </a:r>
            </a:p>
          </xdr:txBody>
        </xdr:sp>
        <xdr:sp macro="" textlink="">
          <xdr:nvSpPr>
            <xdr:cNvPr id="134" name="TextBox 26">
              <a:extLst>
                <a:ext uri="{FF2B5EF4-FFF2-40B4-BE49-F238E27FC236}">
                  <a16:creationId xmlns:a16="http://schemas.microsoft.com/office/drawing/2014/main" id="{51CDBFE1-40F7-4025-9AD2-9A8D5D9FFD77}"/>
                </a:ext>
              </a:extLst>
            </xdr:cNvPr>
            <xdr:cNvSpPr txBox="1"/>
          </xdr:nvSpPr>
          <xdr:spPr>
            <a:xfrm>
              <a:off x="4430396" y="3764850"/>
              <a:ext cx="1986090" cy="41678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>
                  <a:solidFill>
                    <a:schemeClr val="bg1"/>
                  </a:solidFill>
                </a:rPr>
                <a:t>0.80 million </a:t>
              </a:r>
            </a:p>
            <a:p>
              <a:pPr algn="ctr"/>
              <a:r>
                <a:rPr lang="en-GB">
                  <a:solidFill>
                    <a:schemeClr val="bg1"/>
                  </a:solidFill>
                </a:rPr>
                <a:t>tonnes</a:t>
              </a:r>
            </a:p>
          </xdr:txBody>
        </xdr:sp>
        <xdr:sp macro="" textlink="">
          <xdr:nvSpPr>
            <xdr:cNvPr id="135" name="TextBox 27">
              <a:extLst>
                <a:ext uri="{FF2B5EF4-FFF2-40B4-BE49-F238E27FC236}">
                  <a16:creationId xmlns:a16="http://schemas.microsoft.com/office/drawing/2014/main" id="{4066F483-61DF-406C-8D5E-87B7A73DBBD1}"/>
                </a:ext>
              </a:extLst>
            </xdr:cNvPr>
            <xdr:cNvSpPr txBox="1"/>
          </xdr:nvSpPr>
          <xdr:spPr>
            <a:xfrm>
              <a:off x="7047186" y="3761024"/>
              <a:ext cx="1524431" cy="41678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>
                  <a:solidFill>
                    <a:schemeClr val="bg1"/>
                  </a:solidFill>
                </a:rPr>
                <a:t>0.70 million </a:t>
              </a:r>
            </a:p>
            <a:p>
              <a:pPr algn="ctr"/>
              <a:r>
                <a:rPr lang="en-GB">
                  <a:solidFill>
                    <a:schemeClr val="bg1"/>
                  </a:solidFill>
                </a:rPr>
                <a:t>tonnes</a:t>
              </a:r>
            </a:p>
          </xdr:txBody>
        </xdr:sp>
      </xdr:grpSp>
      <xdr:sp macro="" textlink="">
        <xdr:nvSpPr>
          <xdr:cNvPr id="126" name="TextBox 30">
            <a:extLst>
              <a:ext uri="{FF2B5EF4-FFF2-40B4-BE49-F238E27FC236}">
                <a16:creationId xmlns:a16="http://schemas.microsoft.com/office/drawing/2014/main" id="{3EBFC5C0-EF0D-404B-8DAB-4C0833510787}"/>
              </a:ext>
            </a:extLst>
          </xdr:cNvPr>
          <xdr:cNvSpPr txBox="1"/>
        </xdr:nvSpPr>
        <xdr:spPr>
          <a:xfrm>
            <a:off x="251520" y="332656"/>
            <a:ext cx="6048672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r>
              <a:rPr lang="en-GB"/>
              <a:t>Total waste collection by stream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96310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64306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911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58165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29097599-F06C-4748-A5A4-C890CE12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E113178B-ED5D-4CFA-8C6E-D052A251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C6DBCCF2-B112-45F9-BFDA-28B7DB8A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85E444D9-A9C7-4B9D-B643-E185ABB3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38DB3C35-613F-4C57-BD4C-20581A34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DEDC1538-F249-457E-A34B-05C8F8EC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A80FECCC-0874-4198-AB07-2A1E1033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BC093D6A-F005-438E-AFF8-E0CCA3537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755B5005-E97A-4AB8-AA70-7AFD85BB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C42C6DCF-4246-404E-8B10-20210A4F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678CAD6F-4A29-4C1A-B58D-6C0CA9DE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F00297D1-BF50-4CD9-9DF7-DB808065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80F4DB68-B8C5-4C87-919E-4813ACF6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05AA1C94-1AA0-4DC2-B9D8-09796F56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4D00AF84-D32E-4FEA-BACF-52FC1527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AA8965C4-EE1E-46CC-A0B9-3258CD7C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29C6F456-28DB-4EA0-B7BE-B535C7DA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D4ED2E37-31F4-4436-962F-7CA1F46B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62782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83CAF3F3-F238-4177-AB03-8BBB3B01E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2A178309-975D-4405-9A11-0C32D3E3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371850" y="136874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62" name="Picture 39" descr="http://www.abs.gov.au/icons/ecblank.gif">
          <a:extLst>
            <a:ext uri="{FF2B5EF4-FFF2-40B4-BE49-F238E27FC236}">
              <a16:creationId xmlns:a16="http://schemas.microsoft.com/office/drawing/2014/main" id="{24B9070C-B976-4AAA-8157-593CE44C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63" name="Picture 40" descr="http://www.abs.gov.au/icons/ecblank.gif">
          <a:extLst>
            <a:ext uri="{FF2B5EF4-FFF2-40B4-BE49-F238E27FC236}">
              <a16:creationId xmlns:a16="http://schemas.microsoft.com/office/drawing/2014/main" id="{4A6E2C1A-A685-446E-8142-AA5978DC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64" name="Picture 41" descr="http://www.abs.gov.au/icons/ecblank.gif">
          <a:extLst>
            <a:ext uri="{FF2B5EF4-FFF2-40B4-BE49-F238E27FC236}">
              <a16:creationId xmlns:a16="http://schemas.microsoft.com/office/drawing/2014/main" id="{19C1F95C-C102-4963-9B42-3CE0335B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65" name="Picture 42" descr="http://www.abs.gov.au/icons/ecblank.gif">
          <a:extLst>
            <a:ext uri="{FF2B5EF4-FFF2-40B4-BE49-F238E27FC236}">
              <a16:creationId xmlns:a16="http://schemas.microsoft.com/office/drawing/2014/main" id="{535CB763-81D5-48E2-A484-E749648E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66" name="Picture 43" descr="http://www.abs.gov.au/icons/ecblank.gif">
          <a:extLst>
            <a:ext uri="{FF2B5EF4-FFF2-40B4-BE49-F238E27FC236}">
              <a16:creationId xmlns:a16="http://schemas.microsoft.com/office/drawing/2014/main" id="{136B5542-A2DE-4A8A-8DDE-24FD9973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67" name="Picture 44" descr="http://www.abs.gov.au/icons/ecblank.gif">
          <a:extLst>
            <a:ext uri="{FF2B5EF4-FFF2-40B4-BE49-F238E27FC236}">
              <a16:creationId xmlns:a16="http://schemas.microsoft.com/office/drawing/2014/main" id="{8210C011-92AB-4FA7-B528-639C6B7E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68" name="Picture 45" descr="http://www.abs.gov.au/icons/ecblank.gif">
          <a:extLst>
            <a:ext uri="{FF2B5EF4-FFF2-40B4-BE49-F238E27FC236}">
              <a16:creationId xmlns:a16="http://schemas.microsoft.com/office/drawing/2014/main" id="{F7DC1044-B8EF-4C14-A46F-9C6DDD149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69" name="Picture 46" descr="http://www.abs.gov.au/icons/ecblank.gif">
          <a:extLst>
            <a:ext uri="{FF2B5EF4-FFF2-40B4-BE49-F238E27FC236}">
              <a16:creationId xmlns:a16="http://schemas.microsoft.com/office/drawing/2014/main" id="{9918EC96-7E65-4CEC-9D15-EEEB48E1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70" name="Picture 47" descr="http://www.abs.gov.au/icons/ecblank.gif">
          <a:extLst>
            <a:ext uri="{FF2B5EF4-FFF2-40B4-BE49-F238E27FC236}">
              <a16:creationId xmlns:a16="http://schemas.microsoft.com/office/drawing/2014/main" id="{9DC5B936-9FBA-45B9-8DB5-DB7DCDD7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71" name="Picture 48" descr="http://www.abs.gov.au/icons/ecblank.gif">
          <a:extLst>
            <a:ext uri="{FF2B5EF4-FFF2-40B4-BE49-F238E27FC236}">
              <a16:creationId xmlns:a16="http://schemas.microsoft.com/office/drawing/2014/main" id="{FEA699D3-9D77-49A8-9EDB-539BBE6A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72" name="Picture 49" descr="http://www.abs.gov.au/icons/ecblank.gif">
          <a:extLst>
            <a:ext uri="{FF2B5EF4-FFF2-40B4-BE49-F238E27FC236}">
              <a16:creationId xmlns:a16="http://schemas.microsoft.com/office/drawing/2014/main" id="{8873DD46-2DC3-432C-8792-DBB958FA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73" name="Picture 50" descr="http://www.abs.gov.au/icons/ecblank.gif">
          <a:extLst>
            <a:ext uri="{FF2B5EF4-FFF2-40B4-BE49-F238E27FC236}">
              <a16:creationId xmlns:a16="http://schemas.microsoft.com/office/drawing/2014/main" id="{EFFF46D9-FC92-4F1F-94F2-9AD0C8E0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74" name="Picture 51" descr="http://www.abs.gov.au/icons/ecblank.gif">
          <a:extLst>
            <a:ext uri="{FF2B5EF4-FFF2-40B4-BE49-F238E27FC236}">
              <a16:creationId xmlns:a16="http://schemas.microsoft.com/office/drawing/2014/main" id="{2EF232A1-C51E-47FF-9929-42983B2B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75" name="Picture 52" descr="http://www.abs.gov.au/icons/ecblank.gif">
          <a:extLst>
            <a:ext uri="{FF2B5EF4-FFF2-40B4-BE49-F238E27FC236}">
              <a16:creationId xmlns:a16="http://schemas.microsoft.com/office/drawing/2014/main" id="{2CF07521-DE2E-4FC1-B4C2-1DFFD1DF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76" name="Picture 53" descr="http://www.abs.gov.au/icons/ecblank.gif">
          <a:extLst>
            <a:ext uri="{FF2B5EF4-FFF2-40B4-BE49-F238E27FC236}">
              <a16:creationId xmlns:a16="http://schemas.microsoft.com/office/drawing/2014/main" id="{F44829A6-2E12-4734-AB01-295D4CCCC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77" name="Picture 54" descr="http://www.abs.gov.au/icons/ecblank.gif">
          <a:extLst>
            <a:ext uri="{FF2B5EF4-FFF2-40B4-BE49-F238E27FC236}">
              <a16:creationId xmlns:a16="http://schemas.microsoft.com/office/drawing/2014/main" id="{D7EDC526-1517-4AFB-8E3B-371E004D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78" name="Picture 55" descr="http://www.abs.gov.au/icons/ecblank.gif">
          <a:extLst>
            <a:ext uri="{FF2B5EF4-FFF2-40B4-BE49-F238E27FC236}">
              <a16:creationId xmlns:a16="http://schemas.microsoft.com/office/drawing/2014/main" id="{0EF7E0F4-EE90-472D-98DB-A1FFAAF5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pic>
      <xdr:nvPicPr>
        <xdr:cNvPr id="79" name="Picture 56" descr="http://www.abs.gov.au/icons/ecblank.gif">
          <a:extLst>
            <a:ext uri="{FF2B5EF4-FFF2-40B4-BE49-F238E27FC236}">
              <a16:creationId xmlns:a16="http://schemas.microsoft.com/office/drawing/2014/main" id="{C207E13C-6BDB-4EE6-9A3A-E797368C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9153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80" name="Picture 57" descr="http://www.abs.gov.au/icons/ecblank.gif">
          <a:extLst>
            <a:ext uri="{FF2B5EF4-FFF2-40B4-BE49-F238E27FC236}">
              <a16:creationId xmlns:a16="http://schemas.microsoft.com/office/drawing/2014/main" id="{BD039CC7-6759-4485-8ED7-8A9C9993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81" name="Picture 58" descr="http://www.abs.gov.au/icons/ecblank.gif">
          <a:extLst>
            <a:ext uri="{FF2B5EF4-FFF2-40B4-BE49-F238E27FC236}">
              <a16:creationId xmlns:a16="http://schemas.microsoft.com/office/drawing/2014/main" id="{9DC6F79F-EF37-426F-AC1A-8AAB5DCC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91350" y="364807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2" name="Picture 39" descr="http://www.abs.gov.au/icons/ecblank.gif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3" name="Picture 40" descr="http://www.abs.gov.au/icons/ecblank.gif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24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25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6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27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28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29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0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1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32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33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4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5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6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37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38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51</xdr:row>
      <xdr:rowOff>0</xdr:rowOff>
    </xdr:from>
    <xdr:to>
      <xdr:col>15</xdr:col>
      <xdr:colOff>0</xdr:colOff>
      <xdr:row>51</xdr:row>
      <xdr:rowOff>0</xdr:rowOff>
    </xdr:to>
    <xdr:pic>
      <xdr:nvPicPr>
        <xdr:cNvPr id="39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40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9525</xdr:rowOff>
    </xdr:to>
    <xdr:pic>
      <xdr:nvPicPr>
        <xdr:cNvPr id="41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627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2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3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4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5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95</xdr:row>
      <xdr:rowOff>0</xdr:rowOff>
    </xdr:from>
    <xdr:to>
      <xdr:col>4</xdr:col>
      <xdr:colOff>0</xdr:colOff>
      <xdr:row>95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0" name="Picture 59" descr="http://www.abs.gov.au/icons/ecblank.gif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9525</xdr:rowOff>
    </xdr:to>
    <xdr:pic>
      <xdr:nvPicPr>
        <xdr:cNvPr id="61" name="Picture 60" descr="http://www.abs.gov.au/icons/ecblank.gif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621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2" name="Picture 39" descr="http://www.abs.gov.au/icons/ecblank.gif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3" name="Picture 40" descr="http://www.abs.gov.au/icons/ecblank.gif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64" name="Picture 41" descr="http://www.abs.gov.au/icons/ecblank.gif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65" name="Picture 42" descr="http://www.abs.gov.au/icons/ecblank.gif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6" name="Picture 43" descr="http://www.abs.gov.au/icons/ecblank.gif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67" name="Picture 44" descr="http://www.abs.gov.au/icons/ecblank.gif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68" name="Picture 45" descr="http://www.abs.gov.au/icons/ecblank.gif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69" name="Picture 46" descr="http://www.abs.gov.au/icons/ecblank.gif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0" name="Picture 47" descr="http://www.abs.gov.au/icons/ecblank.gif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1" name="Picture 48" descr="http://www.abs.gov.au/icons/ecblank.gif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72" name="Picture 49" descr="http://www.abs.gov.au/icons/ecblank.gif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73" name="Picture 50" descr="http://www.abs.gov.au/icons/ecblank.gif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4" name="Picture 51" descr="http://www.abs.gov.au/icons/ecblank.gif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5" name="Picture 52" descr="http://www.abs.gov.au/icons/ecblank.gif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6" name="Picture 53" descr="http://www.abs.gov.au/icons/ecblank.gif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77" name="Picture 54" descr="http://www.abs.gov.au/icons/ecblank.gif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78" name="Picture 55" descr="http://www.abs.gov.au/icons/ecblank.gif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51</xdr:row>
      <xdr:rowOff>0</xdr:rowOff>
    </xdr:from>
    <xdr:to>
      <xdr:col>18</xdr:col>
      <xdr:colOff>0</xdr:colOff>
      <xdr:row>51</xdr:row>
      <xdr:rowOff>0</xdr:rowOff>
    </xdr:to>
    <xdr:pic>
      <xdr:nvPicPr>
        <xdr:cNvPr id="79" name="Picture 56" descr="http://www.abs.gov.au/icons/ecblank.gif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883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80" name="Picture 57" descr="http://www.abs.gov.au/icons/ecblank.gif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9525</xdr:rowOff>
    </xdr:to>
    <xdr:pic>
      <xdr:nvPicPr>
        <xdr:cNvPr id="81" name="Picture 58" descr="http://www.abs.gov.au/icons/ecblank.gif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143875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95</xdr:row>
      <xdr:rowOff>0</xdr:rowOff>
    </xdr:from>
    <xdr:to>
      <xdr:col>10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79</xdr:row>
      <xdr:rowOff>0</xdr:rowOff>
    </xdr:from>
    <xdr:to>
      <xdr:col>10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79</xdr:row>
      <xdr:rowOff>0</xdr:rowOff>
    </xdr:from>
    <xdr:to>
      <xdr:col>27</xdr:col>
      <xdr:colOff>9525</xdr:colOff>
      <xdr:row>79</xdr:row>
      <xdr:rowOff>9525</xdr:rowOff>
    </xdr:to>
    <xdr:pic>
      <xdr:nvPicPr>
        <xdr:cNvPr id="46" name="Picture 45" descr="http://www.abs.gov.au/icons/ecblank.gif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173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79</xdr:row>
      <xdr:rowOff>0</xdr:rowOff>
    </xdr:from>
    <xdr:to>
      <xdr:col>27</xdr:col>
      <xdr:colOff>9525</xdr:colOff>
      <xdr:row>79</xdr:row>
      <xdr:rowOff>9525</xdr:rowOff>
    </xdr:to>
    <xdr:pic>
      <xdr:nvPicPr>
        <xdr:cNvPr id="47" name="Picture 46" descr="http://www.abs.gov.au/icons/ecblank.gif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173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95</xdr:row>
      <xdr:rowOff>0</xdr:rowOff>
    </xdr:from>
    <xdr:to>
      <xdr:col>27</xdr:col>
      <xdr:colOff>9525</xdr:colOff>
      <xdr:row>95</xdr:row>
      <xdr:rowOff>9525</xdr:rowOff>
    </xdr:to>
    <xdr:pic>
      <xdr:nvPicPr>
        <xdr:cNvPr id="48" name="Picture 47" descr="http://www.abs.gov.au/icons/ecblank.gif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754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0</xdr:colOff>
      <xdr:row>95</xdr:row>
      <xdr:rowOff>0</xdr:rowOff>
    </xdr:from>
    <xdr:to>
      <xdr:col>27</xdr:col>
      <xdr:colOff>9525</xdr:colOff>
      <xdr:row>95</xdr:row>
      <xdr:rowOff>9525</xdr:rowOff>
    </xdr:to>
    <xdr:pic>
      <xdr:nvPicPr>
        <xdr:cNvPr id="49" name="Picture 48" descr="http://www.abs.gov.au/icons/ecblank.gif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754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0</xdr:colOff>
      <xdr:row>79</xdr:row>
      <xdr:rowOff>0</xdr:rowOff>
    </xdr:from>
    <xdr:to>
      <xdr:col>30</xdr:col>
      <xdr:colOff>9525</xdr:colOff>
      <xdr:row>79</xdr:row>
      <xdr:rowOff>9525</xdr:rowOff>
    </xdr:to>
    <xdr:pic>
      <xdr:nvPicPr>
        <xdr:cNvPr id="50" name="Picture 49" descr="http://www.abs.gov.au/icons/ecblank.gif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0</xdr:colOff>
      <xdr:row>79</xdr:row>
      <xdr:rowOff>0</xdr:rowOff>
    </xdr:from>
    <xdr:to>
      <xdr:col>30</xdr:col>
      <xdr:colOff>9525</xdr:colOff>
      <xdr:row>79</xdr:row>
      <xdr:rowOff>9525</xdr:rowOff>
    </xdr:to>
    <xdr:pic>
      <xdr:nvPicPr>
        <xdr:cNvPr id="51" name="Picture 50" descr="http://www.abs.gov.au/icons/ecblank.gif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9525</xdr:colOff>
      <xdr:row>79</xdr:row>
      <xdr:rowOff>9525</xdr:rowOff>
    </xdr:to>
    <xdr:pic>
      <xdr:nvPicPr>
        <xdr:cNvPr id="52" name="Picture 51" descr="http://www.abs.gov.au/icons/ecblank.gif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79</xdr:row>
      <xdr:rowOff>0</xdr:rowOff>
    </xdr:from>
    <xdr:to>
      <xdr:col>28</xdr:col>
      <xdr:colOff>9525</xdr:colOff>
      <xdr:row>79</xdr:row>
      <xdr:rowOff>9525</xdr:rowOff>
    </xdr:to>
    <xdr:pic>
      <xdr:nvPicPr>
        <xdr:cNvPr id="53" name="Picture 52" descr="http://www.abs.gov.au/icons/ecblank.gif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666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95</xdr:row>
      <xdr:rowOff>0</xdr:rowOff>
    </xdr:from>
    <xdr:to>
      <xdr:col>28</xdr:col>
      <xdr:colOff>9525</xdr:colOff>
      <xdr:row>95</xdr:row>
      <xdr:rowOff>9525</xdr:rowOff>
    </xdr:to>
    <xdr:pic>
      <xdr:nvPicPr>
        <xdr:cNvPr id="54" name="Picture 53" descr="http://www.abs.gov.au/icons/ecblank.gif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2140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0</xdr:colOff>
      <xdr:row>95</xdr:row>
      <xdr:rowOff>0</xdr:rowOff>
    </xdr:from>
    <xdr:to>
      <xdr:col>28</xdr:col>
      <xdr:colOff>9525</xdr:colOff>
      <xdr:row>95</xdr:row>
      <xdr:rowOff>9525</xdr:rowOff>
    </xdr:to>
    <xdr:pic>
      <xdr:nvPicPr>
        <xdr:cNvPr id="55" name="Picture 54" descr="http://www.abs.gov.au/icons/ecblank.gif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2140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79</xdr:row>
      <xdr:rowOff>0</xdr:rowOff>
    </xdr:from>
    <xdr:to>
      <xdr:col>29</xdr:col>
      <xdr:colOff>9525</xdr:colOff>
      <xdr:row>79</xdr:row>
      <xdr:rowOff>9525</xdr:rowOff>
    </xdr:to>
    <xdr:pic>
      <xdr:nvPicPr>
        <xdr:cNvPr id="56" name="Picture 55" descr="http://www.abs.gov.au/icons/ecblank.gif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79</xdr:row>
      <xdr:rowOff>0</xdr:rowOff>
    </xdr:from>
    <xdr:to>
      <xdr:col>29</xdr:col>
      <xdr:colOff>9525</xdr:colOff>
      <xdr:row>79</xdr:row>
      <xdr:rowOff>9525</xdr:rowOff>
    </xdr:to>
    <xdr:pic>
      <xdr:nvPicPr>
        <xdr:cNvPr id="57" name="Picture 56" descr="http://www.abs.gov.au/icons/ecblank.gif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95</xdr:row>
      <xdr:rowOff>0</xdr:rowOff>
    </xdr:from>
    <xdr:to>
      <xdr:col>29</xdr:col>
      <xdr:colOff>9525</xdr:colOff>
      <xdr:row>95</xdr:row>
      <xdr:rowOff>9525</xdr:rowOff>
    </xdr:to>
    <xdr:pic>
      <xdr:nvPicPr>
        <xdr:cNvPr id="58" name="Picture 57" descr="http://www.abs.gov.au/icons/ecblank.gif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1379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0</xdr:colOff>
      <xdr:row>95</xdr:row>
      <xdr:rowOff>0</xdr:rowOff>
    </xdr:from>
    <xdr:to>
      <xdr:col>29</xdr:col>
      <xdr:colOff>9525</xdr:colOff>
      <xdr:row>95</xdr:row>
      <xdr:rowOff>9525</xdr:rowOff>
    </xdr:to>
    <xdr:pic>
      <xdr:nvPicPr>
        <xdr:cNvPr id="59" name="Picture 58" descr="http://www.abs.gov.au/icons/ecblank.gif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9363075" y="1379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79</xdr:row>
      <xdr:rowOff>0</xdr:rowOff>
    </xdr:from>
    <xdr:to>
      <xdr:col>21</xdr:col>
      <xdr:colOff>9525</xdr:colOff>
      <xdr:row>79</xdr:row>
      <xdr:rowOff>9525</xdr:rowOff>
    </xdr:to>
    <xdr:pic>
      <xdr:nvPicPr>
        <xdr:cNvPr id="64" name="Picture 63" descr="http://www.abs.gov.au/icons/ecblank.gif">
          <a:extLst>
            <a:ext uri="{FF2B5EF4-FFF2-40B4-BE49-F238E27FC236}">
              <a16:creationId xmlns:a16="http://schemas.microsoft.com/office/drawing/2014/main" id="{535BC6E1-0EC2-4A9A-AA50-1EAB33D7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601700" y="13935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79</xdr:row>
      <xdr:rowOff>0</xdr:rowOff>
    </xdr:from>
    <xdr:to>
      <xdr:col>21</xdr:col>
      <xdr:colOff>9525</xdr:colOff>
      <xdr:row>79</xdr:row>
      <xdr:rowOff>9525</xdr:rowOff>
    </xdr:to>
    <xdr:pic>
      <xdr:nvPicPr>
        <xdr:cNvPr id="65" name="Picture 64" descr="http://www.abs.gov.au/icons/ecblank.gif">
          <a:extLst>
            <a:ext uri="{FF2B5EF4-FFF2-40B4-BE49-F238E27FC236}">
              <a16:creationId xmlns:a16="http://schemas.microsoft.com/office/drawing/2014/main" id="{8395066D-D500-4707-A100-8C20F7C3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601700" y="13935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95</xdr:row>
      <xdr:rowOff>0</xdr:rowOff>
    </xdr:from>
    <xdr:to>
      <xdr:col>21</xdr:col>
      <xdr:colOff>9525</xdr:colOff>
      <xdr:row>95</xdr:row>
      <xdr:rowOff>9525</xdr:rowOff>
    </xdr:to>
    <xdr:pic>
      <xdr:nvPicPr>
        <xdr:cNvPr id="66" name="Picture 65" descr="http://www.abs.gov.au/icons/ecblank.gif">
          <a:extLst>
            <a:ext uri="{FF2B5EF4-FFF2-40B4-BE49-F238E27FC236}">
              <a16:creationId xmlns:a16="http://schemas.microsoft.com/office/drawing/2014/main" id="{0393A13D-B96E-4F80-8645-C637C6DC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601700" y="1652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0</xdr:colOff>
      <xdr:row>95</xdr:row>
      <xdr:rowOff>0</xdr:rowOff>
    </xdr:from>
    <xdr:to>
      <xdr:col>21</xdr:col>
      <xdr:colOff>9525</xdr:colOff>
      <xdr:row>95</xdr:row>
      <xdr:rowOff>9525</xdr:rowOff>
    </xdr:to>
    <xdr:pic>
      <xdr:nvPicPr>
        <xdr:cNvPr id="67" name="Picture 66" descr="http://www.abs.gov.au/icons/ecblank.gif">
          <a:extLst>
            <a:ext uri="{FF2B5EF4-FFF2-40B4-BE49-F238E27FC236}">
              <a16:creationId xmlns:a16="http://schemas.microsoft.com/office/drawing/2014/main" id="{91CFF2A9-74E2-408D-A412-BB76BF08C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601700" y="1652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95</xdr:row>
      <xdr:rowOff>0</xdr:rowOff>
    </xdr:from>
    <xdr:to>
      <xdr:col>9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79</xdr:row>
      <xdr:rowOff>0</xdr:rowOff>
    </xdr:from>
    <xdr:to>
      <xdr:col>9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2" name="Picture 22" descr="http://www.abs.gov.au/icons/ecblank.gif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3" name="Picture 23" descr="http://www.abs.gov.au/icons/ecblank.gif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24" name="Picture 24" descr="http://www.abs.gov.au/icons/ecblank.gif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25" name="Picture 25" descr="http://www.abs.gov.au/icons/ecblank.gif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6" name="Picture 26" descr="http://www.abs.gov.au/icons/ecblank.gif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27" name="Picture 27" descr="http://www.abs.gov.au/icons/ecblank.gif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28" name="Picture 28" descr="http://www.abs.gov.au/icons/ecblank.gif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29" name="Picture 29" descr="http://www.abs.gov.au/icons/ecblank.gif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0" name="Picture 30" descr="http://www.abs.gov.au/icons/ecblank.gif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1" name="Picture 31" descr="http://www.abs.gov.au/icons/ecblank.gif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32" name="Picture 32" descr="http://www.abs.gov.au/icons/ecblank.gif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33" name="Picture 33" descr="http://www.abs.gov.au/icons/ecblank.gif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4" name="Picture 34" descr="http://www.abs.gov.au/icons/ecblank.gif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5" name="Picture 35" descr="http://www.abs.gov.au/icons/ecblank.gif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6" name="Picture 36" descr="http://www.abs.gov.au/icons/ecblank.gif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37" name="Picture 37" descr="http://www.abs.gov.au/icons/ecblank.gif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38" name="Picture 38" descr="http://www.abs.gov.au/icons/ecblank.gif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pic>
      <xdr:nvPicPr>
        <xdr:cNvPr id="39" name="Picture 39" descr="http://www.abs.gov.au/icons/ecblank.gif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7543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0" name="Picture 40" descr="http://www.abs.gov.au/icons/ecblank.gif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9525</xdr:rowOff>
    </xdr:to>
    <xdr:pic>
      <xdr:nvPicPr>
        <xdr:cNvPr id="41" name="Picture 41" descr="http://www.abs.gov.au/icons/ecblank.gif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19500" y="33337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42" name="Picture 42" descr="http://www.abs.gov.au/icons/ecblank.gif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43" name="Picture 43" descr="http://www.abs.gov.au/icons/ecblank.gif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44" name="Picture 44" descr="http://www.abs.gov.au/icons/ecblank.gif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45" name="Picture 45" descr="http://www.abs.gov.au/icons/ecblank.gif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46" name="Picture 46" descr="http://www.abs.gov.au/icons/ecblank.gif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47" name="Picture 47" descr="http://www.abs.gov.au/icons/ecblank.gif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48" name="Picture 48" descr="http://www.abs.gov.au/icons/ecblank.gif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49" name="Picture 49" descr="http://www.abs.gov.au/icons/ecblank.gif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0" name="Picture 50" descr="http://www.abs.gov.au/icons/ecblank.gif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1" name="Picture 51" descr="http://www.abs.gov.au/icons/ecblank.gif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52" name="Picture 52" descr="http://www.abs.gov.au/icons/ecblank.gif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53" name="Picture 53" descr="http://www.abs.gov.au/icons/ecblank.gif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4" name="Picture 54" descr="http://www.abs.gov.au/icons/ecblank.gif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5" name="Picture 55" descr="http://www.abs.gov.au/icons/ecblank.gif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6" name="Picture 56" descr="http://www.abs.gov.au/icons/ecblank.gif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57" name="Picture 57" descr="http://www.abs.gov.au/icons/ecblank.gif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58" name="Picture 58" descr="http://www.abs.gov.au/icons/ecblank.gif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95</xdr:row>
      <xdr:rowOff>0</xdr:rowOff>
    </xdr:from>
    <xdr:to>
      <xdr:col>13</xdr:col>
      <xdr:colOff>0</xdr:colOff>
      <xdr:row>95</xdr:row>
      <xdr:rowOff>9525</xdr:rowOff>
    </xdr:to>
    <xdr:pic>
      <xdr:nvPicPr>
        <xdr:cNvPr id="59" name="Picture 59" descr="http://www.abs.gov.au/icons/ecblank.gif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60" name="Picture 60" descr="http://www.abs.gov.au/icons/ecblank.gif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79</xdr:row>
      <xdr:rowOff>0</xdr:rowOff>
    </xdr:from>
    <xdr:to>
      <xdr:col>13</xdr:col>
      <xdr:colOff>0</xdr:colOff>
      <xdr:row>79</xdr:row>
      <xdr:rowOff>9525</xdr:rowOff>
    </xdr:to>
    <xdr:pic>
      <xdr:nvPicPr>
        <xdr:cNvPr id="61" name="Picture 61" descr="http://www.abs.gov.au/icons/ecblank.gif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67665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62" name="Picture 62" descr="http://www.abs.gov.au/icons/ecblank.gif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63" name="Picture 63" descr="http://www.abs.gov.au/icons/ecblank.gif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64" name="Picture 64" descr="http://www.abs.gov.au/icons/ecblank.gif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65" name="Picture 65" descr="http://www.abs.gov.au/icons/ecblank.gif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66" name="Picture 66" descr="http://www.abs.gov.au/icons/ecblank.gif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67" name="Picture 67" descr="http://www.abs.gov.au/icons/ecblank.gif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68" name="Picture 68" descr="http://www.abs.gov.au/icons/ecblank.gif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69" name="Picture 69" descr="http://www.abs.gov.au/icons/ecblank.gif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0" name="Picture 70" descr="http://www.abs.gov.au/icons/ecblank.gif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1" name="Picture 71" descr="http://www.abs.gov.au/icons/ecblank.gif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72" name="Picture 72" descr="http://www.abs.gov.au/icons/ecblank.gif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73" name="Picture 73" descr="http://www.abs.gov.au/icons/ecblank.gif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4" name="Picture 74" descr="http://www.abs.gov.au/icons/ecblank.gif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5" name="Picture 75" descr="http://www.abs.gov.au/icons/ecblank.gif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6" name="Picture 76" descr="http://www.abs.gov.au/icons/ecblank.gif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77" name="Picture 77" descr="http://www.abs.gov.au/icons/ecblank.gif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78" name="Picture 78" descr="http://www.abs.gov.au/icons/ecblank.gif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95</xdr:row>
      <xdr:rowOff>0</xdr:rowOff>
    </xdr:from>
    <xdr:to>
      <xdr:col>20</xdr:col>
      <xdr:colOff>0</xdr:colOff>
      <xdr:row>95</xdr:row>
      <xdr:rowOff>9525</xdr:rowOff>
    </xdr:to>
    <xdr:pic>
      <xdr:nvPicPr>
        <xdr:cNvPr id="79" name="Picture 79" descr="http://www.abs.gov.au/icons/ecblank.gif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596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80" name="Picture 80" descr="http://www.abs.gov.au/icons/ecblank.gif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79</xdr:row>
      <xdr:rowOff>0</xdr:rowOff>
    </xdr:from>
    <xdr:to>
      <xdr:col>20</xdr:col>
      <xdr:colOff>0</xdr:colOff>
      <xdr:row>79</xdr:row>
      <xdr:rowOff>9525</xdr:rowOff>
    </xdr:to>
    <xdr:pic>
      <xdr:nvPicPr>
        <xdr:cNvPr id="81" name="Picture 81" descr="http://www.abs.gov.au/icons/ecblank.gif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5372100" y="133731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" name="Picture 1" descr="http://www.abs.gov.au/icons/ecblank.gi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3" name="Picture 2" descr="http://www.abs.gov.au/icons/ecblank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4" name="Picture 3" descr="http://www.abs.gov.au/icons/ecblank.gif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5" name="Picture 4" descr="http://www.abs.gov.au/icons/ecblank.gif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6" name="Picture 5" descr="http://www.abs.gov.au/icons/ecblank.gif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7" name="Picture 6" descr="http://www.abs.gov.au/icons/ecblank.gif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8" name="Picture 7" descr="http://www.abs.gov.au/icons/ecblank.gif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9" name="Picture 8" descr="http://www.abs.gov.au/icons/ecblank.gif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0" name="Picture 9" descr="http://www.abs.gov.au/icons/ecblank.gif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1" name="Picture 10" descr="http://www.abs.gov.au/icons/ecblank.gif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2" name="Picture 11" descr="http://www.abs.gov.au/icons/ecblank.gif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3" name="Picture 12" descr="http://www.abs.gov.au/icons/ecblank.gif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4" name="Picture 13" descr="http://www.abs.gov.au/icons/ecblank.gif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5" name="Picture 14" descr="http://www.abs.gov.au/icons/ecblank.gif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6" name="Picture 15" descr="http://www.abs.gov.au/icons/ecblank.gif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17" name="Picture 16" descr="http://www.abs.gov.au/icons/ecblank.gif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8" name="Picture 17" descr="http://www.abs.gov.au/icons/ecblank.gif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0</xdr:colOff>
      <xdr:row>95</xdr:row>
      <xdr:rowOff>9525</xdr:rowOff>
    </xdr:to>
    <xdr:pic>
      <xdr:nvPicPr>
        <xdr:cNvPr id="19" name="Picture 18" descr="http://www.abs.gov.au/icons/ecblank.gif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60210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0" name="Picture 19" descr="http://www.abs.gov.au/icons/ecblank.gif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0</xdr:colOff>
      <xdr:row>79</xdr:row>
      <xdr:rowOff>9525</xdr:rowOff>
    </xdr:to>
    <xdr:pic>
      <xdr:nvPicPr>
        <xdr:cNvPr id="21" name="Picture 20" descr="http://www.abs.gov.au/icons/ecblank.gif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2019300" y="1343025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42" name="Picture 42" descr="http://www.abs.gov.au/icons/ecblank.gif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43" name="Picture 43" descr="http://www.abs.gov.au/icons/ecblank.gif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44" name="Picture 44" descr="http://www.abs.gov.au/icons/ecblank.gif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45" name="Picture 45" descr="http://www.abs.gov.au/icons/ecblank.gif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46" name="Picture 46" descr="http://www.abs.gov.au/icons/ecblank.gif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47" name="Picture 47" descr="http://www.abs.gov.au/icons/ecblank.gif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48" name="Picture 48" descr="http://www.abs.gov.au/icons/ecblank.gif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49" name="Picture 49" descr="http://www.abs.gov.au/icons/ecblank.gif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0" name="Picture 50" descr="http://www.abs.gov.au/icons/ecblank.gif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1" name="Picture 51" descr="http://www.abs.gov.au/icons/ecblank.gif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52" name="Picture 52" descr="http://www.abs.gov.au/icons/ecblank.gif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53" name="Picture 53" descr="http://www.abs.gov.au/icons/ecblank.gif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4" name="Picture 54" descr="http://www.abs.gov.au/icons/ecblank.gif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5" name="Picture 55" descr="http://www.abs.gov.au/icons/ecblank.gif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6" name="Picture 56" descr="http://www.abs.gov.au/icons/ecblank.gif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57" name="Picture 57" descr="http://www.abs.gov.au/icons/ecblank.gif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58" name="Picture 58" descr="http://www.abs.gov.au/icons/ecblank.gif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59" name="Picture 59" descr="http://www.abs.gov.au/icons/ecblank.gif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7600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60" name="Picture 60" descr="http://www.abs.gov.au/icons/ecblank.gif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9525</xdr:rowOff>
    </xdr:to>
    <xdr:pic>
      <xdr:nvPicPr>
        <xdr:cNvPr id="61" name="Picture 61" descr="http://www.abs.gov.au/icons/ecblank.gif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4219575" y="3390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44"/>
  <sheetViews>
    <sheetView workbookViewId="0">
      <pane xSplit="4" ySplit="3" topLeftCell="E4" activePane="bottomRight" state="frozen"/>
      <selection activeCell="B36" sqref="B36"/>
      <selection pane="topRight" activeCell="B36" sqref="B36"/>
      <selection pane="bottomLeft" activeCell="B36" sqref="B36"/>
      <selection pane="bottomRight" activeCell="A137" sqref="A137"/>
    </sheetView>
  </sheetViews>
  <sheetFormatPr defaultRowHeight="12.75" x14ac:dyDescent="0.2"/>
  <cols>
    <col min="1" max="1" width="15.140625" bestFit="1" customWidth="1"/>
    <col min="2" max="2" width="26" style="367" bestFit="1" customWidth="1"/>
    <col min="3" max="3" width="14.7109375" style="466" bestFit="1" customWidth="1"/>
    <col min="4" max="4" width="3.85546875" style="466" bestFit="1" customWidth="1"/>
    <col min="5" max="5" width="1.7109375" style="467" customWidth="1"/>
    <col min="6" max="6" width="1.7109375" style="369" customWidth="1"/>
    <col min="7" max="7" width="9.28515625" style="398" bestFit="1" customWidth="1"/>
    <col min="8" max="8" width="10.42578125" style="398" bestFit="1" customWidth="1"/>
    <col min="9" max="9" width="7.5703125" style="398" bestFit="1" customWidth="1"/>
    <col min="10" max="10" width="7.85546875" style="398" bestFit="1" customWidth="1"/>
    <col min="11" max="11" width="9" style="398" bestFit="1" customWidth="1"/>
    <col min="12" max="12" width="7.85546875" style="398" bestFit="1" customWidth="1"/>
    <col min="13" max="14" width="9" bestFit="1" customWidth="1"/>
    <col min="15" max="15" width="8.5703125" bestFit="1" customWidth="1"/>
    <col min="16" max="16" width="7.85546875" bestFit="1" customWidth="1"/>
    <col min="17" max="17" width="7.42578125" bestFit="1" customWidth="1"/>
    <col min="18" max="18" width="38.5703125" bestFit="1" customWidth="1"/>
    <col min="19" max="19" width="44.85546875" bestFit="1" customWidth="1"/>
    <col min="20" max="20" width="36.7109375" bestFit="1" customWidth="1"/>
    <col min="21" max="21" width="35" bestFit="1" customWidth="1"/>
    <col min="22" max="22" width="33.42578125" bestFit="1" customWidth="1"/>
    <col min="23" max="23" width="44.85546875" bestFit="1" customWidth="1"/>
    <col min="24" max="25" width="7.42578125" bestFit="1" customWidth="1"/>
    <col min="26" max="29" width="5.85546875" bestFit="1" customWidth="1"/>
    <col min="30" max="33" width="6.7109375" bestFit="1" customWidth="1"/>
    <col min="34" max="38" width="5.85546875" bestFit="1" customWidth="1"/>
    <col min="39" max="39" width="6.7109375" bestFit="1" customWidth="1"/>
    <col min="40" max="40" width="6.7109375" style="497" bestFit="1" customWidth="1"/>
    <col min="41" max="42" width="6.7109375" bestFit="1" customWidth="1"/>
    <col min="43" max="47" width="5.85546875" bestFit="1" customWidth="1"/>
    <col min="48" max="51" width="6.7109375" bestFit="1" customWidth="1"/>
    <col min="52" max="52" width="2.7109375" bestFit="1" customWidth="1"/>
  </cols>
  <sheetData>
    <row r="1" spans="1:52" ht="15.75" x14ac:dyDescent="0.25">
      <c r="A1" s="464" t="s">
        <v>301</v>
      </c>
      <c r="B1" s="465"/>
      <c r="F1" s="468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</row>
    <row r="2" spans="1:52" s="278" customFormat="1" x14ac:dyDescent="0.2">
      <c r="A2" s="470"/>
      <c r="B2" s="471"/>
      <c r="C2" s="471"/>
      <c r="D2" s="471"/>
      <c r="E2" s="472"/>
      <c r="F2" s="369"/>
      <c r="G2" s="473"/>
      <c r="H2" s="474"/>
      <c r="I2" s="474"/>
      <c r="J2" s="474"/>
      <c r="K2" s="474"/>
      <c r="L2" s="573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474"/>
    </row>
    <row r="3" spans="1:52" s="118" customFormat="1" ht="74.25" x14ac:dyDescent="0.2">
      <c r="A3" s="475" t="s">
        <v>284</v>
      </c>
      <c r="B3" s="476" t="s">
        <v>13</v>
      </c>
      <c r="C3" s="476" t="s">
        <v>12</v>
      </c>
      <c r="D3" s="130" t="s">
        <v>108</v>
      </c>
      <c r="E3" s="472"/>
      <c r="F3" s="369"/>
      <c r="G3" s="477" t="s">
        <v>302</v>
      </c>
      <c r="H3" s="478" t="s">
        <v>303</v>
      </c>
      <c r="I3" s="478" t="s">
        <v>111</v>
      </c>
      <c r="J3" s="478" t="s">
        <v>10</v>
      </c>
      <c r="K3" s="477" t="s">
        <v>696</v>
      </c>
      <c r="L3" s="477" t="s">
        <v>8</v>
      </c>
      <c r="M3" s="477" t="s">
        <v>697</v>
      </c>
      <c r="N3" s="477" t="s">
        <v>698</v>
      </c>
      <c r="O3" s="477" t="s">
        <v>699</v>
      </c>
      <c r="P3" s="477" t="s">
        <v>7</v>
      </c>
      <c r="Q3" s="477" t="s">
        <v>118</v>
      </c>
      <c r="R3" s="477" t="s">
        <v>6</v>
      </c>
      <c r="S3" s="477" t="s">
        <v>6</v>
      </c>
      <c r="T3" s="477" t="s">
        <v>6</v>
      </c>
      <c r="U3" s="477" t="s">
        <v>6</v>
      </c>
      <c r="V3" s="477" t="s">
        <v>6</v>
      </c>
      <c r="W3" s="477" t="s">
        <v>6</v>
      </c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</row>
    <row r="4" spans="1:52" ht="13.5" thickBot="1" x14ac:dyDescent="0.25">
      <c r="A4" s="479"/>
      <c r="B4" s="479"/>
      <c r="C4" s="479"/>
      <c r="D4" s="471"/>
      <c r="E4" s="472"/>
      <c r="G4" s="480"/>
      <c r="H4" s="481"/>
      <c r="I4" s="481"/>
      <c r="J4" s="481"/>
      <c r="K4" s="481"/>
      <c r="L4" s="580"/>
      <c r="M4" s="580" t="s">
        <v>391</v>
      </c>
      <c r="N4" s="580" t="s">
        <v>391</v>
      </c>
      <c r="O4" s="580" t="s">
        <v>391</v>
      </c>
      <c r="P4" s="481"/>
      <c r="Q4" s="481"/>
      <c r="R4" s="481">
        <v>1</v>
      </c>
      <c r="S4" s="481">
        <v>2</v>
      </c>
      <c r="T4" s="481">
        <v>3</v>
      </c>
      <c r="U4" s="481">
        <v>4</v>
      </c>
      <c r="V4" s="481">
        <v>5</v>
      </c>
      <c r="W4" s="481">
        <v>6</v>
      </c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481"/>
    </row>
    <row r="5" spans="1:52" s="4" customFormat="1" ht="13.5" thickTop="1" x14ac:dyDescent="0.2">
      <c r="A5" s="377">
        <v>10050</v>
      </c>
      <c r="B5" s="377" t="s">
        <v>124</v>
      </c>
      <c r="C5" s="377" t="s">
        <v>123</v>
      </c>
      <c r="D5" s="404" t="s">
        <v>2</v>
      </c>
      <c r="E5" s="472"/>
      <c r="F5" s="369"/>
      <c r="G5" s="463">
        <v>52411</v>
      </c>
      <c r="H5" s="463">
        <v>21678</v>
      </c>
      <c r="I5" s="560">
        <v>250</v>
      </c>
      <c r="J5" s="543" t="s">
        <v>1</v>
      </c>
      <c r="K5" s="543">
        <v>22964</v>
      </c>
      <c r="L5" s="581"/>
      <c r="M5" s="463">
        <v>22964</v>
      </c>
      <c r="N5" s="463">
        <v>0</v>
      </c>
      <c r="O5" s="463">
        <v>22964</v>
      </c>
      <c r="P5" s="463"/>
      <c r="Q5" s="543" t="s">
        <v>1</v>
      </c>
      <c r="R5" s="118" t="s">
        <v>392</v>
      </c>
      <c r="S5" s="118"/>
      <c r="T5" s="118"/>
      <c r="U5" s="118"/>
      <c r="V5" s="118"/>
      <c r="W5" s="118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82"/>
      <c r="AO5" s="463"/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</row>
    <row r="6" spans="1:52" s="4" customFormat="1" x14ac:dyDescent="0.2">
      <c r="A6" s="376">
        <v>10130</v>
      </c>
      <c r="B6" s="376" t="s">
        <v>126</v>
      </c>
      <c r="C6" s="376" t="s">
        <v>125</v>
      </c>
      <c r="D6" s="404" t="s">
        <v>2</v>
      </c>
      <c r="E6" s="472"/>
      <c r="F6" s="369"/>
      <c r="G6" s="463">
        <v>30045</v>
      </c>
      <c r="H6" s="463">
        <v>12098</v>
      </c>
      <c r="I6" s="560">
        <v>321</v>
      </c>
      <c r="J6" s="543" t="s">
        <v>1</v>
      </c>
      <c r="K6" s="543">
        <v>9781</v>
      </c>
      <c r="L6" s="581" t="s">
        <v>1</v>
      </c>
      <c r="M6" s="463">
        <v>9256</v>
      </c>
      <c r="N6" s="463">
        <v>0</v>
      </c>
      <c r="O6" s="463">
        <v>8567</v>
      </c>
      <c r="P6" s="463"/>
      <c r="Q6" s="543" t="s">
        <v>1</v>
      </c>
      <c r="R6" s="118" t="s">
        <v>393</v>
      </c>
      <c r="S6" s="118" t="s">
        <v>495</v>
      </c>
      <c r="T6" s="118" t="s">
        <v>557</v>
      </c>
      <c r="U6" s="118" t="s">
        <v>608</v>
      </c>
      <c r="V6" s="118" t="s">
        <v>647</v>
      </c>
      <c r="W6" s="118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82"/>
      <c r="AO6" s="463"/>
      <c r="AP6" s="463"/>
      <c r="AQ6" s="463"/>
      <c r="AR6" s="463"/>
      <c r="AS6" s="463"/>
      <c r="AT6" s="463"/>
      <c r="AU6" s="463"/>
      <c r="AV6" s="463"/>
      <c r="AW6" s="463"/>
      <c r="AX6" s="463"/>
      <c r="AY6" s="463"/>
      <c r="AZ6" s="463"/>
    </row>
    <row r="7" spans="1:52" s="4" customFormat="1" x14ac:dyDescent="0.2">
      <c r="A7" s="376">
        <v>10250</v>
      </c>
      <c r="B7" s="376" t="s">
        <v>132</v>
      </c>
      <c r="C7" s="376" t="s">
        <v>131</v>
      </c>
      <c r="D7" s="404" t="s">
        <v>5</v>
      </c>
      <c r="E7" s="472"/>
      <c r="F7" s="369"/>
      <c r="G7" s="463">
        <v>42556</v>
      </c>
      <c r="H7" s="463">
        <v>17744</v>
      </c>
      <c r="I7" s="560">
        <v>374</v>
      </c>
      <c r="J7" s="543" t="s">
        <v>1</v>
      </c>
      <c r="K7" s="543">
        <v>17744</v>
      </c>
      <c r="L7" s="581"/>
      <c r="M7" s="463">
        <v>17744</v>
      </c>
      <c r="N7" s="463">
        <v>0</v>
      </c>
      <c r="O7" s="463">
        <v>14612</v>
      </c>
      <c r="P7" s="463"/>
      <c r="Q7" s="543" t="s">
        <v>1</v>
      </c>
      <c r="R7" s="118" t="s">
        <v>394</v>
      </c>
      <c r="S7" s="118"/>
      <c r="T7" s="118"/>
      <c r="U7" s="118"/>
      <c r="V7" s="118"/>
      <c r="W7" s="118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82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</row>
    <row r="8" spans="1:52" s="4" customFormat="1" x14ac:dyDescent="0.2">
      <c r="A8" s="376">
        <v>10300</v>
      </c>
      <c r="B8" s="376" t="s">
        <v>133</v>
      </c>
      <c r="C8" s="376" t="s">
        <v>123</v>
      </c>
      <c r="D8" s="404" t="s">
        <v>2</v>
      </c>
      <c r="E8" s="472"/>
      <c r="F8" s="369"/>
      <c r="G8" s="463">
        <v>2385</v>
      </c>
      <c r="H8" s="463">
        <v>1674</v>
      </c>
      <c r="I8" s="560">
        <v>305</v>
      </c>
      <c r="J8" s="543" t="s">
        <v>1</v>
      </c>
      <c r="K8" s="543">
        <v>708</v>
      </c>
      <c r="L8" s="581"/>
      <c r="M8" s="463">
        <v>0</v>
      </c>
      <c r="N8" s="463">
        <v>0</v>
      </c>
      <c r="O8" s="463">
        <v>0</v>
      </c>
      <c r="P8" s="543" t="s">
        <v>1</v>
      </c>
      <c r="Q8" s="543" t="s">
        <v>1</v>
      </c>
      <c r="R8" s="118" t="s">
        <v>395</v>
      </c>
      <c r="S8" s="118" t="s">
        <v>496</v>
      </c>
      <c r="T8" s="118"/>
      <c r="U8" s="118"/>
      <c r="V8" s="118"/>
      <c r="W8" s="118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82"/>
      <c r="AO8" s="463"/>
      <c r="AP8" s="463"/>
      <c r="AQ8" s="463"/>
      <c r="AR8" s="463"/>
      <c r="AS8" s="463"/>
      <c r="AT8" s="463"/>
      <c r="AU8" s="463"/>
      <c r="AV8" s="463"/>
      <c r="AW8" s="463"/>
      <c r="AX8" s="463"/>
      <c r="AY8" s="463"/>
      <c r="AZ8" s="463"/>
    </row>
    <row r="9" spans="1:52" s="4" customFormat="1" x14ac:dyDescent="0.2">
      <c r="A9" s="376">
        <v>10470</v>
      </c>
      <c r="B9" s="376" t="s">
        <v>135</v>
      </c>
      <c r="C9" s="376" t="s">
        <v>293</v>
      </c>
      <c r="D9" s="404" t="s">
        <v>2</v>
      </c>
      <c r="E9" s="472"/>
      <c r="F9" s="369"/>
      <c r="G9" s="463">
        <v>43080</v>
      </c>
      <c r="H9" s="463">
        <v>18326</v>
      </c>
      <c r="I9" s="560">
        <v>368</v>
      </c>
      <c r="J9" s="543" t="s">
        <v>1</v>
      </c>
      <c r="K9" s="543">
        <v>14710</v>
      </c>
      <c r="L9" s="581"/>
      <c r="M9" s="463">
        <v>14683</v>
      </c>
      <c r="N9" s="463">
        <v>0</v>
      </c>
      <c r="O9" s="463">
        <v>13168</v>
      </c>
      <c r="P9" s="463"/>
      <c r="Q9" s="543" t="s">
        <v>1</v>
      </c>
      <c r="R9" s="118" t="s">
        <v>396</v>
      </c>
      <c r="S9" s="118" t="s">
        <v>497</v>
      </c>
      <c r="T9" s="118" t="s">
        <v>558</v>
      </c>
      <c r="U9" s="118" t="s">
        <v>609</v>
      </c>
      <c r="V9" s="118" t="s">
        <v>648</v>
      </c>
      <c r="W9" s="118" t="s">
        <v>675</v>
      </c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82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</row>
    <row r="10" spans="1:52" s="4" customFormat="1" x14ac:dyDescent="0.2">
      <c r="A10" s="376">
        <v>10500</v>
      </c>
      <c r="B10" s="376" t="s">
        <v>149</v>
      </c>
      <c r="C10" s="376" t="s">
        <v>127</v>
      </c>
      <c r="D10" s="404" t="s">
        <v>4</v>
      </c>
      <c r="E10" s="472"/>
      <c r="F10" s="369"/>
      <c r="G10" s="463">
        <v>160944</v>
      </c>
      <c r="H10" s="463">
        <v>58760</v>
      </c>
      <c r="I10" s="560">
        <v>462</v>
      </c>
      <c r="J10" s="543" t="s">
        <v>1</v>
      </c>
      <c r="K10" s="543">
        <v>42095</v>
      </c>
      <c r="L10" s="581" t="s">
        <v>1</v>
      </c>
      <c r="M10" s="463">
        <v>43087</v>
      </c>
      <c r="N10" s="463">
        <v>8167</v>
      </c>
      <c r="O10" s="463">
        <v>0</v>
      </c>
      <c r="P10" s="543" t="s">
        <v>1</v>
      </c>
      <c r="Q10" s="463"/>
      <c r="R10" s="118"/>
      <c r="S10" s="118"/>
      <c r="T10" s="118"/>
      <c r="U10" s="118"/>
      <c r="V10" s="118"/>
      <c r="W10" s="118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3"/>
      <c r="AN10" s="482"/>
      <c r="AO10" s="463"/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</row>
    <row r="11" spans="1:52" s="4" customFormat="1" x14ac:dyDescent="0.2">
      <c r="A11" s="376">
        <v>10550</v>
      </c>
      <c r="B11" s="376" t="s">
        <v>138</v>
      </c>
      <c r="C11" s="376" t="s">
        <v>137</v>
      </c>
      <c r="D11" s="404" t="s">
        <v>2</v>
      </c>
      <c r="E11" s="472"/>
      <c r="F11" s="369"/>
      <c r="G11" s="463">
        <v>33662</v>
      </c>
      <c r="H11" s="463">
        <v>17457</v>
      </c>
      <c r="I11" s="560">
        <v>402.5</v>
      </c>
      <c r="J11" s="543" t="s">
        <v>1</v>
      </c>
      <c r="K11" s="543">
        <v>16100</v>
      </c>
      <c r="L11" s="581"/>
      <c r="M11" s="463">
        <v>16100</v>
      </c>
      <c r="N11" s="463">
        <v>12000</v>
      </c>
      <c r="O11" s="463">
        <v>0</v>
      </c>
      <c r="P11" s="463"/>
      <c r="Q11" s="543" t="s">
        <v>1</v>
      </c>
      <c r="R11" s="118" t="s">
        <v>397</v>
      </c>
      <c r="S11" s="118" t="s">
        <v>498</v>
      </c>
      <c r="T11" s="118" t="s">
        <v>559</v>
      </c>
      <c r="U11" s="118" t="s">
        <v>610</v>
      </c>
      <c r="V11" s="118" t="s">
        <v>649</v>
      </c>
      <c r="W11" s="118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3"/>
      <c r="AL11" s="463"/>
      <c r="AM11" s="463"/>
      <c r="AN11" s="482"/>
      <c r="AO11" s="463"/>
      <c r="AP11" s="463"/>
      <c r="AQ11" s="463"/>
      <c r="AR11" s="463"/>
      <c r="AS11" s="463"/>
      <c r="AT11" s="463"/>
      <c r="AU11" s="463"/>
      <c r="AV11" s="463"/>
      <c r="AW11" s="463"/>
      <c r="AX11" s="463"/>
      <c r="AY11" s="463"/>
      <c r="AZ11" s="463"/>
    </row>
    <row r="12" spans="1:52" s="4" customFormat="1" x14ac:dyDescent="0.2">
      <c r="A12" s="376">
        <v>10600</v>
      </c>
      <c r="B12" s="376" t="s">
        <v>139</v>
      </c>
      <c r="C12" s="376" t="s">
        <v>294</v>
      </c>
      <c r="D12" s="404" t="s">
        <v>5</v>
      </c>
      <c r="E12" s="472"/>
      <c r="F12" s="369"/>
      <c r="G12" s="463">
        <v>13066</v>
      </c>
      <c r="H12" s="463">
        <v>5911</v>
      </c>
      <c r="I12" s="560">
        <v>659</v>
      </c>
      <c r="J12" s="543" t="s">
        <v>1</v>
      </c>
      <c r="K12" s="543">
        <v>4045</v>
      </c>
      <c r="L12" s="581" t="s">
        <v>1</v>
      </c>
      <c r="M12" s="463">
        <v>4045</v>
      </c>
      <c r="N12" s="463">
        <v>0</v>
      </c>
      <c r="O12" s="463">
        <v>4045</v>
      </c>
      <c r="P12" s="543" t="s">
        <v>1</v>
      </c>
      <c r="Q12" s="543" t="s">
        <v>1</v>
      </c>
      <c r="R12" s="118" t="s">
        <v>398</v>
      </c>
      <c r="S12" s="118" t="s">
        <v>499</v>
      </c>
      <c r="T12" s="118" t="s">
        <v>560</v>
      </c>
      <c r="U12" s="118"/>
      <c r="V12" s="118"/>
      <c r="W12" s="118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3"/>
      <c r="AL12" s="463"/>
      <c r="AM12" s="463"/>
      <c r="AN12" s="482"/>
      <c r="AO12" s="463"/>
      <c r="AP12" s="463"/>
      <c r="AQ12" s="463"/>
      <c r="AR12" s="463"/>
      <c r="AS12" s="463"/>
      <c r="AT12" s="463"/>
      <c r="AU12" s="463"/>
      <c r="AV12" s="463"/>
      <c r="AW12" s="463"/>
      <c r="AX12" s="463"/>
      <c r="AY12" s="463"/>
      <c r="AZ12" s="463"/>
    </row>
    <row r="13" spans="1:52" s="4" customFormat="1" x14ac:dyDescent="0.2">
      <c r="A13" s="376">
        <v>10650</v>
      </c>
      <c r="B13" s="376" t="s">
        <v>140</v>
      </c>
      <c r="C13" s="376" t="s">
        <v>123</v>
      </c>
      <c r="D13" s="404" t="s">
        <v>2</v>
      </c>
      <c r="E13" s="472"/>
      <c r="F13" s="369"/>
      <c r="G13" s="463">
        <v>8420</v>
      </c>
      <c r="H13" s="463">
        <v>3549</v>
      </c>
      <c r="I13" s="560">
        <v>279</v>
      </c>
      <c r="J13" s="543" t="s">
        <v>1</v>
      </c>
      <c r="K13" s="543">
        <v>3404</v>
      </c>
      <c r="L13" s="581"/>
      <c r="M13" s="463">
        <v>3404</v>
      </c>
      <c r="N13" s="463">
        <v>0</v>
      </c>
      <c r="O13" s="463">
        <v>0</v>
      </c>
      <c r="P13" s="463"/>
      <c r="Q13" s="543" t="s">
        <v>1</v>
      </c>
      <c r="R13" s="118" t="s">
        <v>399</v>
      </c>
      <c r="S13" s="118" t="s">
        <v>500</v>
      </c>
      <c r="T13" s="118"/>
      <c r="U13" s="118"/>
      <c r="V13" s="118"/>
      <c r="W13" s="118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  <c r="AI13" s="463"/>
      <c r="AJ13" s="463"/>
      <c r="AK13" s="463"/>
      <c r="AL13" s="463"/>
      <c r="AM13" s="463"/>
      <c r="AN13" s="482"/>
      <c r="AO13" s="463"/>
      <c r="AP13" s="463"/>
      <c r="AQ13" s="463"/>
      <c r="AR13" s="463"/>
      <c r="AS13" s="463"/>
      <c r="AT13" s="463"/>
      <c r="AU13" s="463"/>
      <c r="AV13" s="463"/>
      <c r="AW13" s="463"/>
      <c r="AX13" s="463"/>
      <c r="AY13" s="463"/>
      <c r="AZ13" s="463"/>
    </row>
    <row r="14" spans="1:52" s="4" customFormat="1" x14ac:dyDescent="0.2">
      <c r="A14" s="376">
        <v>10750</v>
      </c>
      <c r="B14" s="376" t="s">
        <v>141</v>
      </c>
      <c r="C14" s="376" t="s">
        <v>129</v>
      </c>
      <c r="D14" s="404" t="s">
        <v>4</v>
      </c>
      <c r="E14" s="472"/>
      <c r="F14" s="369"/>
      <c r="G14" s="463">
        <v>348138</v>
      </c>
      <c r="H14" s="463">
        <v>122906</v>
      </c>
      <c r="I14" s="560">
        <v>472</v>
      </c>
      <c r="J14" s="543" t="s">
        <v>1</v>
      </c>
      <c r="K14" s="543">
        <v>106113</v>
      </c>
      <c r="L14" s="581" t="s">
        <v>1</v>
      </c>
      <c r="M14" s="463">
        <v>105000</v>
      </c>
      <c r="N14" s="463">
        <v>0</v>
      </c>
      <c r="O14" s="463">
        <v>0</v>
      </c>
      <c r="P14" s="543" t="s">
        <v>1</v>
      </c>
      <c r="Q14" s="543" t="s">
        <v>1</v>
      </c>
      <c r="R14" s="118" t="s">
        <v>400</v>
      </c>
      <c r="S14" s="118"/>
      <c r="T14" s="118"/>
      <c r="U14" s="118"/>
      <c r="V14" s="118"/>
      <c r="W14" s="118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82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</row>
    <row r="15" spans="1:52" s="5" customFormat="1" x14ac:dyDescent="0.2">
      <c r="A15" s="376">
        <v>10800</v>
      </c>
      <c r="B15" s="376" t="s">
        <v>143</v>
      </c>
      <c r="C15" s="376" t="s">
        <v>142</v>
      </c>
      <c r="D15" s="404" t="s">
        <v>2</v>
      </c>
      <c r="E15" s="472"/>
      <c r="F15" s="369"/>
      <c r="G15" s="463">
        <v>5917</v>
      </c>
      <c r="H15" s="463">
        <v>3516</v>
      </c>
      <c r="I15" s="560">
        <v>344</v>
      </c>
      <c r="J15" s="543" t="s">
        <v>1</v>
      </c>
      <c r="K15" s="543">
        <v>2140</v>
      </c>
      <c r="L15" s="581"/>
      <c r="M15" s="463">
        <v>0</v>
      </c>
      <c r="N15" s="463">
        <v>0</v>
      </c>
      <c r="O15" s="463">
        <v>0</v>
      </c>
      <c r="P15" s="463"/>
      <c r="Q15" s="543" t="s">
        <v>1</v>
      </c>
      <c r="R15" s="118" t="s">
        <v>401</v>
      </c>
      <c r="S15" s="118"/>
      <c r="T15" s="118"/>
      <c r="U15" s="118"/>
      <c r="V15" s="118"/>
      <c r="W15" s="118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82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</row>
    <row r="16" spans="1:52" s="4" customFormat="1" x14ac:dyDescent="0.2">
      <c r="A16" s="376">
        <v>10850</v>
      </c>
      <c r="B16" s="376" t="s">
        <v>144</v>
      </c>
      <c r="C16" s="376" t="s">
        <v>293</v>
      </c>
      <c r="D16" s="404" t="s">
        <v>2</v>
      </c>
      <c r="E16" s="472"/>
      <c r="F16" s="369"/>
      <c r="G16" s="463">
        <v>7457</v>
      </c>
      <c r="H16" s="463">
        <v>3550</v>
      </c>
      <c r="I16" s="560">
        <v>412</v>
      </c>
      <c r="J16" s="543" t="s">
        <v>1</v>
      </c>
      <c r="K16" s="543">
        <v>3452</v>
      </c>
      <c r="L16" s="581"/>
      <c r="M16" s="463">
        <v>2521</v>
      </c>
      <c r="N16" s="463">
        <v>0</v>
      </c>
      <c r="O16" s="463">
        <v>0</v>
      </c>
      <c r="P16" s="543" t="s">
        <v>1</v>
      </c>
      <c r="Q16" s="543" t="s">
        <v>1</v>
      </c>
      <c r="R16" s="118" t="s">
        <v>402</v>
      </c>
      <c r="S16" s="118"/>
      <c r="T16" s="118"/>
      <c r="U16" s="118"/>
      <c r="V16" s="118"/>
      <c r="W16" s="118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82"/>
      <c r="AO16" s="463"/>
      <c r="AP16" s="463"/>
      <c r="AQ16" s="463"/>
      <c r="AR16" s="463"/>
      <c r="AS16" s="463"/>
      <c r="AT16" s="463"/>
      <c r="AU16" s="463"/>
      <c r="AV16" s="463"/>
      <c r="AW16" s="463"/>
      <c r="AX16" s="463"/>
      <c r="AY16" s="463"/>
      <c r="AZ16" s="463"/>
    </row>
    <row r="17" spans="1:52" s="4" customFormat="1" x14ac:dyDescent="0.2">
      <c r="A17" s="376">
        <v>10900</v>
      </c>
      <c r="B17" s="376" t="s">
        <v>145</v>
      </c>
      <c r="C17" s="376" t="s">
        <v>129</v>
      </c>
      <c r="D17" s="404" t="s">
        <v>5</v>
      </c>
      <c r="E17" s="472"/>
      <c r="F17" s="369"/>
      <c r="G17" s="463">
        <v>80072</v>
      </c>
      <c r="H17" s="463">
        <v>34388</v>
      </c>
      <c r="I17" s="560">
        <v>390</v>
      </c>
      <c r="J17" s="543" t="s">
        <v>1</v>
      </c>
      <c r="K17" s="543">
        <v>33871</v>
      </c>
      <c r="L17" s="581"/>
      <c r="M17" s="463">
        <v>33840</v>
      </c>
      <c r="N17" s="463">
        <v>33769</v>
      </c>
      <c r="O17" s="463">
        <v>0</v>
      </c>
      <c r="P17" s="543" t="s">
        <v>1</v>
      </c>
      <c r="Q17" s="543" t="s">
        <v>1</v>
      </c>
      <c r="R17" s="118" t="s">
        <v>403</v>
      </c>
      <c r="S17" s="118" t="s">
        <v>501</v>
      </c>
      <c r="T17" s="118"/>
      <c r="U17" s="118"/>
      <c r="V17" s="118"/>
      <c r="W17" s="118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82"/>
      <c r="AO17" s="463"/>
      <c r="AP17" s="463"/>
      <c r="AQ17" s="463"/>
      <c r="AR17" s="463"/>
      <c r="AS17" s="463"/>
      <c r="AT17" s="463"/>
      <c r="AU17" s="463"/>
      <c r="AV17" s="463"/>
      <c r="AW17" s="463"/>
      <c r="AX17" s="463"/>
      <c r="AY17" s="463"/>
      <c r="AZ17" s="463"/>
    </row>
    <row r="18" spans="1:52" s="4" customFormat="1" x14ac:dyDescent="0.2">
      <c r="A18" s="376">
        <v>10950</v>
      </c>
      <c r="B18" s="376" t="s">
        <v>146</v>
      </c>
      <c r="C18" s="376" t="s">
        <v>293</v>
      </c>
      <c r="D18" s="404" t="s">
        <v>2</v>
      </c>
      <c r="E18" s="472"/>
      <c r="F18" s="369"/>
      <c r="G18" s="463">
        <v>3007</v>
      </c>
      <c r="H18" s="463">
        <v>5810</v>
      </c>
      <c r="I18" s="560">
        <v>218</v>
      </c>
      <c r="J18" s="543" t="s">
        <v>1</v>
      </c>
      <c r="K18" s="543">
        <v>1701</v>
      </c>
      <c r="L18" s="581"/>
      <c r="M18" s="463">
        <v>1701</v>
      </c>
      <c r="N18" s="463">
        <v>0</v>
      </c>
      <c r="O18" s="463">
        <v>0</v>
      </c>
      <c r="P18" s="463"/>
      <c r="Q18" s="543" t="s">
        <v>1</v>
      </c>
      <c r="R18" s="118" t="s">
        <v>404</v>
      </c>
      <c r="S18" s="118"/>
      <c r="T18" s="118"/>
      <c r="U18" s="118"/>
      <c r="V18" s="118"/>
      <c r="W18" s="118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82"/>
      <c r="AO18" s="463"/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</row>
    <row r="19" spans="1:52" s="4" customFormat="1" x14ac:dyDescent="0.2">
      <c r="A19" s="376">
        <v>11150</v>
      </c>
      <c r="B19" s="376" t="s">
        <v>150</v>
      </c>
      <c r="C19" s="376" t="s">
        <v>293</v>
      </c>
      <c r="D19" s="404" t="s">
        <v>2</v>
      </c>
      <c r="E19" s="472"/>
      <c r="F19" s="369"/>
      <c r="G19" s="463">
        <v>2814</v>
      </c>
      <c r="H19" s="463">
        <v>938</v>
      </c>
      <c r="I19" s="560">
        <v>279</v>
      </c>
      <c r="J19" s="543" t="s">
        <v>1</v>
      </c>
      <c r="K19" s="543">
        <v>928</v>
      </c>
      <c r="L19" s="581"/>
      <c r="M19" s="463">
        <v>0</v>
      </c>
      <c r="N19" s="463">
        <v>0</v>
      </c>
      <c r="O19" s="463">
        <v>0</v>
      </c>
      <c r="P19" s="463"/>
      <c r="Q19" s="463"/>
      <c r="R19" s="118"/>
      <c r="S19" s="118"/>
      <c r="T19" s="118"/>
      <c r="U19" s="118"/>
      <c r="V19" s="118"/>
      <c r="W19" s="118"/>
      <c r="X19" s="463"/>
      <c r="Y19" s="463"/>
      <c r="Z19" s="463"/>
      <c r="AA19" s="463"/>
      <c r="AB19" s="463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82"/>
      <c r="AO19" s="463"/>
      <c r="AP19" s="463"/>
      <c r="AQ19" s="463"/>
      <c r="AR19" s="463"/>
      <c r="AS19" s="463"/>
      <c r="AT19" s="463"/>
      <c r="AU19" s="463"/>
      <c r="AV19" s="463"/>
      <c r="AW19" s="463"/>
      <c r="AX19" s="463"/>
      <c r="AY19" s="463"/>
      <c r="AZ19" s="463"/>
    </row>
    <row r="20" spans="1:52" s="4" customFormat="1" x14ac:dyDescent="0.2">
      <c r="A20" s="376">
        <v>11200</v>
      </c>
      <c r="B20" s="376" t="s">
        <v>151</v>
      </c>
      <c r="C20" s="376" t="s">
        <v>293</v>
      </c>
      <c r="D20" s="404" t="s">
        <v>2</v>
      </c>
      <c r="E20" s="472"/>
      <c r="F20" s="369"/>
      <c r="G20" s="463">
        <v>1875</v>
      </c>
      <c r="H20" s="463">
        <v>899</v>
      </c>
      <c r="I20" s="560">
        <v>444</v>
      </c>
      <c r="J20" s="543" t="s">
        <v>1</v>
      </c>
      <c r="K20" s="543">
        <v>814</v>
      </c>
      <c r="L20" s="581"/>
      <c r="M20" s="463">
        <v>0</v>
      </c>
      <c r="N20" s="463">
        <v>0</v>
      </c>
      <c r="O20" s="463">
        <v>0</v>
      </c>
      <c r="P20" s="463"/>
      <c r="Q20" s="543" t="s">
        <v>1</v>
      </c>
      <c r="R20" s="118" t="s">
        <v>405</v>
      </c>
      <c r="S20" s="118" t="s">
        <v>502</v>
      </c>
      <c r="T20" s="118" t="s">
        <v>561</v>
      </c>
      <c r="U20" s="118" t="s">
        <v>611</v>
      </c>
      <c r="V20" s="118"/>
      <c r="W20" s="118"/>
      <c r="X20" s="463"/>
      <c r="Y20" s="463"/>
      <c r="Z20" s="463"/>
      <c r="AA20" s="463"/>
      <c r="AB20" s="463"/>
      <c r="AC20" s="463"/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82"/>
      <c r="AO20" s="463"/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</row>
    <row r="21" spans="1:52" s="4" customFormat="1" x14ac:dyDescent="0.2">
      <c r="A21" s="376">
        <v>11250</v>
      </c>
      <c r="B21" s="376" t="s">
        <v>152</v>
      </c>
      <c r="C21" s="376" t="s">
        <v>293</v>
      </c>
      <c r="D21" s="404" t="s">
        <v>2</v>
      </c>
      <c r="E21" s="472"/>
      <c r="F21" s="369"/>
      <c r="G21" s="463">
        <v>18557</v>
      </c>
      <c r="H21" s="463">
        <v>9460</v>
      </c>
      <c r="I21" s="560">
        <v>252</v>
      </c>
      <c r="J21" s="543" t="s">
        <v>1</v>
      </c>
      <c r="K21" s="543">
        <v>9767</v>
      </c>
      <c r="L21" s="581"/>
      <c r="M21" s="463">
        <v>0</v>
      </c>
      <c r="N21" s="463">
        <v>0</v>
      </c>
      <c r="O21" s="463">
        <v>8600</v>
      </c>
      <c r="P21" s="463"/>
      <c r="Q21" s="543" t="s">
        <v>1</v>
      </c>
      <c r="R21" s="118" t="s">
        <v>406</v>
      </c>
      <c r="S21" s="118"/>
      <c r="T21" s="118"/>
      <c r="U21" s="118"/>
      <c r="V21" s="118"/>
      <c r="W21" s="118"/>
      <c r="X21" s="463"/>
      <c r="Y21" s="463"/>
      <c r="Z21" s="463"/>
      <c r="AA21" s="463"/>
      <c r="AB21" s="463"/>
      <c r="AC21" s="463"/>
      <c r="AD21" s="463"/>
      <c r="AE21" s="463"/>
      <c r="AF21" s="463"/>
      <c r="AG21" s="463"/>
      <c r="AH21" s="463"/>
      <c r="AI21" s="463"/>
      <c r="AJ21" s="463"/>
      <c r="AK21" s="463"/>
      <c r="AL21" s="463"/>
      <c r="AM21" s="463"/>
      <c r="AN21" s="482"/>
      <c r="AO21" s="463"/>
      <c r="AP21" s="463"/>
      <c r="AQ21" s="463"/>
      <c r="AR21" s="463"/>
      <c r="AS21" s="463"/>
      <c r="AT21" s="463"/>
      <c r="AU21" s="463"/>
      <c r="AV21" s="463"/>
      <c r="AW21" s="463"/>
      <c r="AX21" s="463"/>
      <c r="AY21" s="463"/>
      <c r="AZ21" s="463"/>
    </row>
    <row r="22" spans="1:52" s="4" customFormat="1" x14ac:dyDescent="0.2">
      <c r="A22" s="376">
        <v>11300</v>
      </c>
      <c r="B22" s="376" t="s">
        <v>153</v>
      </c>
      <c r="C22" s="376" t="s">
        <v>127</v>
      </c>
      <c r="D22" s="404" t="s">
        <v>4</v>
      </c>
      <c r="E22" s="472"/>
      <c r="F22" s="369"/>
      <c r="G22" s="463">
        <v>36505</v>
      </c>
      <c r="H22" s="463">
        <v>14224</v>
      </c>
      <c r="I22" s="560">
        <v>367</v>
      </c>
      <c r="J22" s="543" t="s">
        <v>1</v>
      </c>
      <c r="K22" s="543">
        <v>14224</v>
      </c>
      <c r="L22" s="581"/>
      <c r="M22" s="463">
        <v>14224</v>
      </c>
      <c r="N22" s="463">
        <v>14224</v>
      </c>
      <c r="O22" s="463">
        <v>0</v>
      </c>
      <c r="P22" s="543" t="s">
        <v>1</v>
      </c>
      <c r="Q22" s="543" t="s">
        <v>1</v>
      </c>
      <c r="R22" s="118" t="s">
        <v>407</v>
      </c>
      <c r="S22" s="118"/>
      <c r="T22" s="118"/>
      <c r="U22" s="118"/>
      <c r="V22" s="118"/>
      <c r="W22" s="118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82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  <c r="AZ22" s="463"/>
    </row>
    <row r="23" spans="1:52" s="4" customFormat="1" x14ac:dyDescent="0.2">
      <c r="A23" s="376">
        <v>11350</v>
      </c>
      <c r="B23" s="376" t="s">
        <v>154</v>
      </c>
      <c r="C23" s="376" t="s">
        <v>131</v>
      </c>
      <c r="D23" s="404" t="s">
        <v>5</v>
      </c>
      <c r="E23" s="472"/>
      <c r="F23" s="369"/>
      <c r="G23" s="463">
        <v>33278</v>
      </c>
      <c r="H23" s="463">
        <v>15348</v>
      </c>
      <c r="I23" s="560">
        <v>260</v>
      </c>
      <c r="J23" s="543" t="s">
        <v>1</v>
      </c>
      <c r="K23" s="543">
        <v>13526</v>
      </c>
      <c r="L23" s="581"/>
      <c r="M23" s="463">
        <v>13617</v>
      </c>
      <c r="N23" s="463">
        <v>0</v>
      </c>
      <c r="O23" s="463">
        <v>10536</v>
      </c>
      <c r="P23" s="543" t="s">
        <v>1</v>
      </c>
      <c r="Q23" s="543" t="s">
        <v>1</v>
      </c>
      <c r="R23" s="118" t="s">
        <v>408</v>
      </c>
      <c r="S23" s="118"/>
      <c r="T23" s="118"/>
      <c r="U23" s="118"/>
      <c r="V23" s="118"/>
      <c r="W23" s="118"/>
      <c r="X23" s="463"/>
      <c r="Y23" s="463"/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82"/>
      <c r="AO23" s="463"/>
      <c r="AP23" s="463"/>
      <c r="AQ23" s="463"/>
      <c r="AR23" s="463"/>
      <c r="AS23" s="463"/>
      <c r="AT23" s="463"/>
      <c r="AU23" s="463"/>
      <c r="AV23" s="463"/>
      <c r="AW23" s="463"/>
      <c r="AX23" s="463"/>
      <c r="AY23" s="463"/>
      <c r="AZ23" s="463"/>
    </row>
    <row r="24" spans="1:52" s="4" customFormat="1" x14ac:dyDescent="0.2">
      <c r="A24" s="376">
        <v>11400</v>
      </c>
      <c r="B24" s="376" t="s">
        <v>155</v>
      </c>
      <c r="C24" s="376" t="s">
        <v>293</v>
      </c>
      <c r="D24" s="404" t="s">
        <v>2</v>
      </c>
      <c r="E24" s="472"/>
      <c r="F24" s="369"/>
      <c r="G24" s="463">
        <v>13999</v>
      </c>
      <c r="H24" s="463">
        <v>7106</v>
      </c>
      <c r="I24" s="560">
        <v>338.9</v>
      </c>
      <c r="J24" s="543" t="s">
        <v>1</v>
      </c>
      <c r="K24" s="543">
        <v>3580</v>
      </c>
      <c r="L24" s="581"/>
      <c r="M24" s="463">
        <v>3580</v>
      </c>
      <c r="N24" s="463">
        <v>0</v>
      </c>
      <c r="O24" s="463">
        <v>0</v>
      </c>
      <c r="P24" s="543" t="s">
        <v>1</v>
      </c>
      <c r="Q24" s="543" t="s">
        <v>1</v>
      </c>
      <c r="R24" s="118" t="s">
        <v>409</v>
      </c>
      <c r="S24" s="118" t="s">
        <v>503</v>
      </c>
      <c r="T24" s="118" t="s">
        <v>562</v>
      </c>
      <c r="U24" s="118" t="s">
        <v>612</v>
      </c>
      <c r="V24" s="118" t="s">
        <v>650</v>
      </c>
      <c r="W24" s="118" t="s">
        <v>676</v>
      </c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82"/>
      <c r="AO24" s="463"/>
      <c r="AP24" s="463"/>
      <c r="AQ24" s="463"/>
      <c r="AR24" s="463"/>
      <c r="AS24" s="463"/>
      <c r="AT24" s="463"/>
      <c r="AU24" s="463"/>
      <c r="AV24" s="463"/>
      <c r="AW24" s="463"/>
      <c r="AX24" s="463"/>
      <c r="AY24" s="463"/>
      <c r="AZ24" s="463"/>
    </row>
    <row r="25" spans="1:52" s="4" customFormat="1" x14ac:dyDescent="0.2">
      <c r="A25" s="376">
        <v>11450</v>
      </c>
      <c r="B25" s="376" t="s">
        <v>157</v>
      </c>
      <c r="C25" s="376" t="s">
        <v>156</v>
      </c>
      <c r="D25" s="404" t="s">
        <v>4</v>
      </c>
      <c r="E25" s="472"/>
      <c r="F25" s="369"/>
      <c r="G25" s="463">
        <v>77504</v>
      </c>
      <c r="H25" s="463">
        <v>27740</v>
      </c>
      <c r="I25" s="560">
        <v>601.29999999999995</v>
      </c>
      <c r="J25" s="543" t="s">
        <v>1</v>
      </c>
      <c r="K25" s="543">
        <v>28399</v>
      </c>
      <c r="L25" s="581"/>
      <c r="M25" s="463">
        <v>27763</v>
      </c>
      <c r="N25" s="463">
        <v>25283</v>
      </c>
      <c r="O25" s="463">
        <v>0</v>
      </c>
      <c r="P25" s="543" t="s">
        <v>1</v>
      </c>
      <c r="Q25" s="463"/>
      <c r="R25" s="118"/>
      <c r="S25" s="118"/>
      <c r="T25" s="118"/>
      <c r="U25" s="118"/>
      <c r="V25" s="118"/>
      <c r="W25" s="118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82"/>
      <c r="AO25" s="463"/>
      <c r="AP25" s="463"/>
      <c r="AQ25" s="463"/>
      <c r="AR25" s="463"/>
      <c r="AS25" s="463"/>
      <c r="AT25" s="463"/>
      <c r="AU25" s="463"/>
      <c r="AV25" s="463"/>
      <c r="AW25" s="463"/>
      <c r="AX25" s="463"/>
      <c r="AY25" s="463"/>
      <c r="AZ25" s="463"/>
    </row>
    <row r="26" spans="1:52" s="4" customFormat="1" x14ac:dyDescent="0.2">
      <c r="A26" s="376">
        <v>11500</v>
      </c>
      <c r="B26" s="376" t="s">
        <v>158</v>
      </c>
      <c r="C26" s="376" t="s">
        <v>156</v>
      </c>
      <c r="D26" s="404" t="s">
        <v>4</v>
      </c>
      <c r="E26" s="472"/>
      <c r="F26" s="369"/>
      <c r="G26" s="463">
        <v>161998</v>
      </c>
      <c r="H26" s="463">
        <v>56521</v>
      </c>
      <c r="I26" s="560">
        <v>329.3</v>
      </c>
      <c r="J26" s="543" t="s">
        <v>1</v>
      </c>
      <c r="K26" s="543">
        <v>54581</v>
      </c>
      <c r="L26" s="581"/>
      <c r="M26" s="463">
        <v>54581</v>
      </c>
      <c r="N26" s="463">
        <v>54380</v>
      </c>
      <c r="O26" s="463">
        <v>0</v>
      </c>
      <c r="P26" s="543" t="s">
        <v>1</v>
      </c>
      <c r="Q26" s="463"/>
      <c r="R26" s="118"/>
      <c r="S26" s="118"/>
      <c r="T26" s="118"/>
      <c r="U26" s="118"/>
      <c r="V26" s="118"/>
      <c r="W26" s="118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82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</row>
    <row r="27" spans="1:52" s="4" customFormat="1" x14ac:dyDescent="0.2">
      <c r="A27" s="376">
        <v>11520</v>
      </c>
      <c r="B27" s="376" t="s">
        <v>159</v>
      </c>
      <c r="C27" s="376" t="s">
        <v>127</v>
      </c>
      <c r="D27" s="404" t="s">
        <v>4</v>
      </c>
      <c r="E27" s="472"/>
      <c r="F27" s="369"/>
      <c r="G27" s="463">
        <v>90427</v>
      </c>
      <c r="H27" s="463">
        <v>34974</v>
      </c>
      <c r="I27" s="560">
        <v>372.5</v>
      </c>
      <c r="J27" s="543" t="s">
        <v>1</v>
      </c>
      <c r="K27" s="543">
        <v>26129</v>
      </c>
      <c r="L27" s="581"/>
      <c r="M27" s="463">
        <v>26573</v>
      </c>
      <c r="N27" s="463">
        <v>18949</v>
      </c>
      <c r="O27" s="463">
        <v>0</v>
      </c>
      <c r="P27" s="543" t="s">
        <v>1</v>
      </c>
      <c r="Q27" s="463"/>
      <c r="R27" s="118"/>
      <c r="S27" s="118"/>
      <c r="T27" s="118"/>
      <c r="U27" s="118"/>
      <c r="V27" s="118"/>
      <c r="W27" s="118"/>
      <c r="X27" s="463"/>
      <c r="Y27" s="463"/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82"/>
      <c r="AO27" s="463"/>
      <c r="AP27" s="463"/>
      <c r="AQ27" s="463"/>
      <c r="AR27" s="463"/>
      <c r="AS27" s="463"/>
      <c r="AT27" s="463"/>
      <c r="AU27" s="463"/>
      <c r="AV27" s="463"/>
      <c r="AW27" s="463"/>
      <c r="AX27" s="463"/>
      <c r="AY27" s="463"/>
      <c r="AZ27" s="463"/>
    </row>
    <row r="28" spans="1:52" s="4" customFormat="1" x14ac:dyDescent="0.2">
      <c r="A28" s="376">
        <v>11570</v>
      </c>
      <c r="B28" s="376" t="s">
        <v>134</v>
      </c>
      <c r="C28" s="376" t="s">
        <v>127</v>
      </c>
      <c r="D28" s="404" t="s">
        <v>4</v>
      </c>
      <c r="E28" s="472"/>
      <c r="F28" s="369"/>
      <c r="G28" s="463">
        <v>359671</v>
      </c>
      <c r="H28" s="463">
        <v>114340</v>
      </c>
      <c r="I28" s="560">
        <v>450</v>
      </c>
      <c r="J28" s="543" t="s">
        <v>1</v>
      </c>
      <c r="K28" s="543">
        <v>97684</v>
      </c>
      <c r="L28" s="581"/>
      <c r="M28" s="463">
        <v>95567</v>
      </c>
      <c r="N28" s="463">
        <v>85288</v>
      </c>
      <c r="O28" s="463">
        <v>0</v>
      </c>
      <c r="P28" s="543" t="s">
        <v>1</v>
      </c>
      <c r="Q28" s="463"/>
      <c r="R28" s="118"/>
      <c r="S28" s="118"/>
      <c r="T28" s="118"/>
      <c r="U28" s="118"/>
      <c r="V28" s="118"/>
      <c r="W28" s="118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82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</row>
    <row r="29" spans="1:52" s="4" customFormat="1" x14ac:dyDescent="0.2">
      <c r="A29" s="376">
        <v>11600</v>
      </c>
      <c r="B29" s="376" t="s">
        <v>161</v>
      </c>
      <c r="C29" s="376" t="s">
        <v>160</v>
      </c>
      <c r="D29" s="404" t="s">
        <v>2</v>
      </c>
      <c r="E29" s="472"/>
      <c r="F29" s="369"/>
      <c r="G29" s="463">
        <v>2760</v>
      </c>
      <c r="H29" s="463">
        <v>2624</v>
      </c>
      <c r="I29" s="560">
        <v>180</v>
      </c>
      <c r="J29" s="543" t="s">
        <v>1</v>
      </c>
      <c r="K29" s="543">
        <v>704</v>
      </c>
      <c r="L29" s="581"/>
      <c r="M29" s="463">
        <v>0</v>
      </c>
      <c r="N29" s="463">
        <v>0</v>
      </c>
      <c r="O29" s="463">
        <v>0</v>
      </c>
      <c r="P29" s="463"/>
      <c r="Q29" s="463"/>
      <c r="R29" s="118"/>
      <c r="S29" s="118"/>
      <c r="T29" s="118"/>
      <c r="U29" s="118"/>
      <c r="V29" s="118"/>
      <c r="W29" s="118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82"/>
      <c r="AO29" s="463"/>
      <c r="AP29" s="463"/>
      <c r="AQ29" s="463"/>
      <c r="AR29" s="463"/>
      <c r="AS29" s="463"/>
      <c r="AT29" s="463"/>
      <c r="AU29" s="463"/>
      <c r="AV29" s="463"/>
      <c r="AW29" s="463"/>
      <c r="AX29" s="463"/>
      <c r="AY29" s="463"/>
      <c r="AZ29" s="463"/>
    </row>
    <row r="30" spans="1:52" s="4" customFormat="1" x14ac:dyDescent="0.2">
      <c r="A30" s="376">
        <v>11650</v>
      </c>
      <c r="B30" s="376" t="s">
        <v>181</v>
      </c>
      <c r="C30" s="376" t="s">
        <v>163</v>
      </c>
      <c r="D30" s="404" t="s">
        <v>3</v>
      </c>
      <c r="E30" s="472"/>
      <c r="F30" s="369"/>
      <c r="G30" s="463">
        <v>334857</v>
      </c>
      <c r="H30" s="463">
        <v>130469</v>
      </c>
      <c r="I30" s="560">
        <v>447</v>
      </c>
      <c r="J30" s="543" t="s">
        <v>1</v>
      </c>
      <c r="K30" s="543">
        <v>131869</v>
      </c>
      <c r="L30" s="581"/>
      <c r="M30" s="463">
        <v>132191</v>
      </c>
      <c r="N30" s="463">
        <v>123590</v>
      </c>
      <c r="O30" s="463">
        <v>0</v>
      </c>
      <c r="P30" s="543" t="s">
        <v>1</v>
      </c>
      <c r="Q30" s="543" t="s">
        <v>1</v>
      </c>
      <c r="R30" s="118" t="s">
        <v>410</v>
      </c>
      <c r="S30" s="118" t="s">
        <v>504</v>
      </c>
      <c r="T30" s="118" t="s">
        <v>563</v>
      </c>
      <c r="U30" s="118"/>
      <c r="V30" s="118"/>
      <c r="W30" s="118"/>
      <c r="X30" s="463"/>
      <c r="Y30" s="463"/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82"/>
      <c r="AO30" s="463"/>
      <c r="AP30" s="463"/>
      <c r="AQ30" s="463"/>
      <c r="AR30" s="463"/>
      <c r="AS30" s="463"/>
      <c r="AT30" s="463"/>
      <c r="AU30" s="463"/>
      <c r="AV30" s="463"/>
      <c r="AW30" s="463"/>
      <c r="AX30" s="463"/>
      <c r="AY30" s="463"/>
      <c r="AZ30" s="463"/>
    </row>
    <row r="31" spans="1:52" s="4" customFormat="1" x14ac:dyDescent="0.2">
      <c r="A31" s="376">
        <v>11700</v>
      </c>
      <c r="B31" s="376" t="s">
        <v>162</v>
      </c>
      <c r="C31" s="376" t="s">
        <v>293</v>
      </c>
      <c r="D31" s="404" t="s">
        <v>2</v>
      </c>
      <c r="E31" s="472"/>
      <c r="F31" s="369"/>
      <c r="G31" s="463">
        <v>2070</v>
      </c>
      <c r="H31" s="463">
        <v>1379</v>
      </c>
      <c r="I31" s="560">
        <v>510</v>
      </c>
      <c r="J31" s="543" t="s">
        <v>1</v>
      </c>
      <c r="K31" s="543">
        <v>719</v>
      </c>
      <c r="L31" s="581"/>
      <c r="M31" s="463">
        <v>0</v>
      </c>
      <c r="N31" s="463">
        <v>0</v>
      </c>
      <c r="O31" s="463">
        <v>0</v>
      </c>
      <c r="P31" s="463"/>
      <c r="Q31" s="463"/>
      <c r="R31" s="118"/>
      <c r="S31" s="118"/>
      <c r="T31" s="118"/>
      <c r="U31" s="118"/>
      <c r="V31" s="118"/>
      <c r="W31" s="118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82"/>
      <c r="AO31" s="463"/>
      <c r="AP31" s="463"/>
      <c r="AQ31" s="463"/>
      <c r="AR31" s="463"/>
      <c r="AS31" s="463"/>
      <c r="AT31" s="463"/>
      <c r="AU31" s="463"/>
      <c r="AV31" s="463"/>
      <c r="AW31" s="463"/>
      <c r="AX31" s="463"/>
      <c r="AY31" s="463"/>
      <c r="AZ31" s="463"/>
    </row>
    <row r="32" spans="1:52" s="4" customFormat="1" x14ac:dyDescent="0.2">
      <c r="A32" s="376">
        <v>11720</v>
      </c>
      <c r="B32" s="376" t="s">
        <v>164</v>
      </c>
      <c r="C32" s="376" t="s">
        <v>163</v>
      </c>
      <c r="D32" s="404" t="s">
        <v>3</v>
      </c>
      <c r="E32" s="472"/>
      <c r="F32" s="369"/>
      <c r="G32" s="463">
        <v>56532</v>
      </c>
      <c r="H32" s="463">
        <v>24194</v>
      </c>
      <c r="I32" s="560">
        <v>540</v>
      </c>
      <c r="J32" s="543" t="s">
        <v>1</v>
      </c>
      <c r="K32" s="543">
        <v>21230</v>
      </c>
      <c r="L32" s="581"/>
      <c r="M32" s="463">
        <v>21230</v>
      </c>
      <c r="N32" s="463">
        <v>21230</v>
      </c>
      <c r="O32" s="463">
        <v>0</v>
      </c>
      <c r="P32" s="463"/>
      <c r="Q32" s="543" t="s">
        <v>1</v>
      </c>
      <c r="R32" s="118" t="s">
        <v>411</v>
      </c>
      <c r="S32" s="118"/>
      <c r="T32" s="118"/>
      <c r="U32" s="118"/>
      <c r="V32" s="118"/>
      <c r="W32" s="118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82"/>
      <c r="AO32" s="463"/>
      <c r="AP32" s="463"/>
      <c r="AQ32" s="463"/>
      <c r="AR32" s="463"/>
      <c r="AS32" s="463"/>
      <c r="AT32" s="463"/>
      <c r="AU32" s="463"/>
      <c r="AV32" s="463"/>
      <c r="AW32" s="463"/>
      <c r="AX32" s="463"/>
      <c r="AY32" s="463"/>
      <c r="AZ32" s="463"/>
    </row>
    <row r="33" spans="1:52" s="4" customFormat="1" x14ac:dyDescent="0.2">
      <c r="A33" s="376">
        <v>11730</v>
      </c>
      <c r="B33" s="376" t="s">
        <v>165</v>
      </c>
      <c r="C33" s="376" t="s">
        <v>131</v>
      </c>
      <c r="D33" s="404" t="s">
        <v>5</v>
      </c>
      <c r="E33" s="472"/>
      <c r="F33" s="369"/>
      <c r="G33" s="463">
        <v>51211</v>
      </c>
      <c r="H33" s="463">
        <v>23646</v>
      </c>
      <c r="I33" s="560">
        <v>310</v>
      </c>
      <c r="J33" s="543" t="s">
        <v>1</v>
      </c>
      <c r="K33" s="543">
        <v>22149</v>
      </c>
      <c r="L33" s="581"/>
      <c r="M33" s="463">
        <v>22105</v>
      </c>
      <c r="N33" s="463">
        <v>0</v>
      </c>
      <c r="O33" s="463">
        <v>17912</v>
      </c>
      <c r="P33" s="543" t="s">
        <v>1</v>
      </c>
      <c r="Q33" s="543" t="s">
        <v>1</v>
      </c>
      <c r="R33" s="118" t="s">
        <v>412</v>
      </c>
      <c r="S33" s="118" t="s">
        <v>505</v>
      </c>
      <c r="T33" s="118" t="s">
        <v>564</v>
      </c>
      <c r="U33" s="118" t="s">
        <v>613</v>
      </c>
      <c r="V33" s="118" t="s">
        <v>651</v>
      </c>
      <c r="W33" s="118" t="s">
        <v>677</v>
      </c>
      <c r="X33" s="463"/>
      <c r="Y33" s="463"/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82"/>
      <c r="AO33" s="463"/>
      <c r="AP33" s="463"/>
      <c r="AQ33" s="463"/>
      <c r="AR33" s="463"/>
      <c r="AS33" s="463"/>
      <c r="AT33" s="463"/>
      <c r="AU33" s="463"/>
      <c r="AV33" s="463"/>
      <c r="AW33" s="463"/>
      <c r="AX33" s="463"/>
      <c r="AY33" s="463"/>
      <c r="AZ33" s="463"/>
    </row>
    <row r="34" spans="1:52" s="4" customFormat="1" x14ac:dyDescent="0.2">
      <c r="A34" s="376">
        <v>11750</v>
      </c>
      <c r="B34" s="376" t="s">
        <v>166</v>
      </c>
      <c r="C34" s="376" t="s">
        <v>293</v>
      </c>
      <c r="D34" s="404" t="s">
        <v>2</v>
      </c>
      <c r="E34" s="472"/>
      <c r="F34" s="369"/>
      <c r="G34" s="463">
        <v>4989</v>
      </c>
      <c r="H34" s="463">
        <v>2691</v>
      </c>
      <c r="I34" s="560">
        <v>225</v>
      </c>
      <c r="J34" s="543" t="s">
        <v>1</v>
      </c>
      <c r="K34" s="543">
        <v>2488</v>
      </c>
      <c r="L34" s="581"/>
      <c r="M34" s="463">
        <v>0</v>
      </c>
      <c r="N34" s="463">
        <v>0</v>
      </c>
      <c r="O34" s="463">
        <v>0</v>
      </c>
      <c r="P34" s="463"/>
      <c r="Q34" s="463"/>
      <c r="R34" s="118"/>
      <c r="S34" s="118"/>
      <c r="T34" s="118"/>
      <c r="U34" s="118"/>
      <c r="V34" s="118"/>
      <c r="W34" s="118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82"/>
      <c r="AO34" s="463"/>
      <c r="AP34" s="463"/>
      <c r="AQ34" s="463"/>
      <c r="AR34" s="463"/>
      <c r="AS34" s="463"/>
      <c r="AT34" s="463"/>
      <c r="AU34" s="463"/>
      <c r="AV34" s="463"/>
      <c r="AW34" s="463"/>
      <c r="AX34" s="463"/>
      <c r="AY34" s="463"/>
      <c r="AZ34" s="463"/>
    </row>
    <row r="35" spans="1:52" s="4" customFormat="1" x14ac:dyDescent="0.2">
      <c r="A35" s="376">
        <v>11800</v>
      </c>
      <c r="B35" s="376" t="s">
        <v>167</v>
      </c>
      <c r="C35" s="376" t="s">
        <v>294</v>
      </c>
      <c r="D35" s="404" t="s">
        <v>5</v>
      </c>
      <c r="E35" s="472"/>
      <c r="F35" s="369"/>
      <c r="G35" s="463">
        <v>73892</v>
      </c>
      <c r="H35" s="463">
        <v>29320</v>
      </c>
      <c r="I35" s="560">
        <v>636</v>
      </c>
      <c r="J35" s="543" t="s">
        <v>1</v>
      </c>
      <c r="K35" s="543">
        <v>32052</v>
      </c>
      <c r="L35" s="581" t="s">
        <v>1</v>
      </c>
      <c r="M35" s="463">
        <v>27207</v>
      </c>
      <c r="N35" s="463">
        <v>0</v>
      </c>
      <c r="O35" s="463">
        <v>32079</v>
      </c>
      <c r="P35" s="543" t="s">
        <v>1</v>
      </c>
      <c r="Q35" s="543" t="s">
        <v>1</v>
      </c>
      <c r="R35" s="118" t="s">
        <v>413</v>
      </c>
      <c r="S35" s="118" t="s">
        <v>506</v>
      </c>
      <c r="T35" s="118" t="s">
        <v>565</v>
      </c>
      <c r="U35" s="118" t="s">
        <v>614</v>
      </c>
      <c r="V35" s="118"/>
      <c r="W35" s="118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82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463"/>
    </row>
    <row r="36" spans="1:52" s="4" customFormat="1" x14ac:dyDescent="0.2">
      <c r="A36" s="376">
        <v>12000</v>
      </c>
      <c r="B36" s="376" t="s">
        <v>169</v>
      </c>
      <c r="C36" s="376" t="s">
        <v>142</v>
      </c>
      <c r="D36" s="404" t="s">
        <v>2</v>
      </c>
      <c r="E36" s="472"/>
      <c r="F36" s="369"/>
      <c r="G36" s="463">
        <v>4419</v>
      </c>
      <c r="H36" s="463">
        <v>2020</v>
      </c>
      <c r="I36" s="560">
        <v>265</v>
      </c>
      <c r="J36" s="543" t="s">
        <v>1</v>
      </c>
      <c r="K36" s="543">
        <v>1651</v>
      </c>
      <c r="L36" s="581"/>
      <c r="M36" s="463">
        <v>1613</v>
      </c>
      <c r="N36" s="463">
        <v>0</v>
      </c>
      <c r="O36" s="463">
        <v>1162</v>
      </c>
      <c r="P36" s="543" t="s">
        <v>1</v>
      </c>
      <c r="Q36" s="463"/>
      <c r="R36" s="118"/>
      <c r="S36" s="118"/>
      <c r="T36" s="118"/>
      <c r="U36" s="118"/>
      <c r="V36" s="118"/>
      <c r="W36" s="118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82"/>
      <c r="AO36" s="463"/>
      <c r="AP36" s="463"/>
      <c r="AQ36" s="463"/>
      <c r="AR36" s="463"/>
      <c r="AS36" s="463"/>
      <c r="AT36" s="463"/>
      <c r="AU36" s="463"/>
      <c r="AV36" s="463"/>
      <c r="AW36" s="463"/>
      <c r="AX36" s="463"/>
      <c r="AY36" s="463"/>
      <c r="AZ36" s="463"/>
    </row>
    <row r="37" spans="1:52" s="4" customFormat="1" x14ac:dyDescent="0.2">
      <c r="A37" s="376">
        <v>12150</v>
      </c>
      <c r="B37" s="376" t="s">
        <v>170</v>
      </c>
      <c r="C37" s="376" t="s">
        <v>293</v>
      </c>
      <c r="D37" s="404" t="s">
        <v>2</v>
      </c>
      <c r="E37" s="472"/>
      <c r="F37" s="369"/>
      <c r="G37" s="463">
        <v>4188</v>
      </c>
      <c r="H37" s="463">
        <v>1577</v>
      </c>
      <c r="I37" s="560">
        <v>280</v>
      </c>
      <c r="J37" s="543" t="s">
        <v>1</v>
      </c>
      <c r="K37" s="543">
        <v>1468</v>
      </c>
      <c r="L37" s="581"/>
      <c r="M37" s="463">
        <v>0</v>
      </c>
      <c r="N37" s="463">
        <v>0</v>
      </c>
      <c r="O37" s="463">
        <v>0</v>
      </c>
      <c r="P37" s="463"/>
      <c r="Q37" s="543" t="s">
        <v>1</v>
      </c>
      <c r="R37" s="118" t="s">
        <v>414</v>
      </c>
      <c r="S37" s="118" t="s">
        <v>507</v>
      </c>
      <c r="T37" s="118"/>
      <c r="U37" s="118"/>
      <c r="V37" s="118"/>
      <c r="W37" s="118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82"/>
      <c r="AO37" s="463"/>
      <c r="AP37" s="463"/>
      <c r="AQ37" s="463"/>
      <c r="AR37" s="463"/>
      <c r="AS37" s="463"/>
      <c r="AT37" s="463"/>
      <c r="AU37" s="463"/>
      <c r="AV37" s="463"/>
      <c r="AW37" s="463"/>
      <c r="AX37" s="463"/>
      <c r="AY37" s="463"/>
      <c r="AZ37" s="463"/>
    </row>
    <row r="38" spans="1:52" s="4" customFormat="1" x14ac:dyDescent="0.2">
      <c r="A38" s="376">
        <v>12350</v>
      </c>
      <c r="B38" s="376" t="s">
        <v>172</v>
      </c>
      <c r="C38" s="376" t="s">
        <v>293</v>
      </c>
      <c r="D38" s="404" t="s">
        <v>2</v>
      </c>
      <c r="E38" s="472"/>
      <c r="F38" s="369"/>
      <c r="G38" s="463">
        <v>12527</v>
      </c>
      <c r="H38" s="463">
        <v>4372</v>
      </c>
      <c r="I38" s="560">
        <v>595</v>
      </c>
      <c r="J38" s="543" t="s">
        <v>1</v>
      </c>
      <c r="K38" s="543">
        <v>4372</v>
      </c>
      <c r="L38" s="581"/>
      <c r="M38" s="463">
        <v>4250</v>
      </c>
      <c r="N38" s="463">
        <v>0</v>
      </c>
      <c r="O38" s="463">
        <v>0</v>
      </c>
      <c r="P38" s="463"/>
      <c r="Q38" s="543" t="s">
        <v>1</v>
      </c>
      <c r="R38" s="118" t="s">
        <v>415</v>
      </c>
      <c r="S38" s="118"/>
      <c r="T38" s="118"/>
      <c r="U38" s="118"/>
      <c r="V38" s="118"/>
      <c r="W38" s="118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82"/>
      <c r="AO38" s="463"/>
      <c r="AP38" s="463"/>
      <c r="AQ38" s="463"/>
      <c r="AR38" s="463"/>
      <c r="AS38" s="463"/>
      <c r="AT38" s="463"/>
      <c r="AU38" s="463"/>
      <c r="AV38" s="463"/>
      <c r="AW38" s="463"/>
      <c r="AX38" s="463"/>
      <c r="AY38" s="463"/>
      <c r="AZ38" s="463"/>
    </row>
    <row r="39" spans="1:52" s="4" customFormat="1" x14ac:dyDescent="0.2">
      <c r="A39" s="376">
        <v>12380</v>
      </c>
      <c r="B39" s="376" t="s">
        <v>130</v>
      </c>
      <c r="C39" s="376" t="s">
        <v>129</v>
      </c>
      <c r="D39" s="404" t="s">
        <v>4</v>
      </c>
      <c r="E39" s="472"/>
      <c r="F39" s="369"/>
      <c r="G39" s="463">
        <v>222758</v>
      </c>
      <c r="H39" s="463">
        <v>72079</v>
      </c>
      <c r="I39" s="560">
        <v>447</v>
      </c>
      <c r="J39" s="543" t="s">
        <v>1</v>
      </c>
      <c r="K39" s="543">
        <v>68923</v>
      </c>
      <c r="L39" s="581" t="s">
        <v>1</v>
      </c>
      <c r="M39" s="463">
        <v>65715</v>
      </c>
      <c r="N39" s="463">
        <v>22584</v>
      </c>
      <c r="O39" s="463">
        <v>0</v>
      </c>
      <c r="P39" s="543" t="s">
        <v>1</v>
      </c>
      <c r="Q39" s="543" t="s">
        <v>1</v>
      </c>
      <c r="R39" s="118" t="s">
        <v>416</v>
      </c>
      <c r="S39" s="118"/>
      <c r="T39" s="118"/>
      <c r="U39" s="118"/>
      <c r="V39" s="118"/>
      <c r="W39" s="118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82"/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</row>
    <row r="40" spans="1:52" s="4" customFormat="1" x14ac:dyDescent="0.2">
      <c r="A40" s="376">
        <v>12700</v>
      </c>
      <c r="B40" s="376" t="s">
        <v>174</v>
      </c>
      <c r="C40" s="376" t="s">
        <v>163</v>
      </c>
      <c r="D40" s="404" t="s">
        <v>5</v>
      </c>
      <c r="E40" s="472"/>
      <c r="F40" s="369"/>
      <c r="G40" s="463">
        <v>9323</v>
      </c>
      <c r="H40" s="463">
        <v>5283</v>
      </c>
      <c r="I40" s="560">
        <v>386.9</v>
      </c>
      <c r="J40" s="543" t="s">
        <v>1</v>
      </c>
      <c r="K40" s="543">
        <v>3545</v>
      </c>
      <c r="L40" s="581"/>
      <c r="M40" s="463">
        <v>3521</v>
      </c>
      <c r="N40" s="463">
        <v>0</v>
      </c>
      <c r="O40" s="463">
        <v>0</v>
      </c>
      <c r="P40" s="543" t="s">
        <v>1</v>
      </c>
      <c r="Q40" s="543" t="s">
        <v>1</v>
      </c>
      <c r="R40" s="118" t="s">
        <v>417</v>
      </c>
      <c r="S40" s="118"/>
      <c r="T40" s="118"/>
      <c r="U40" s="118"/>
      <c r="V40" s="118"/>
      <c r="W40" s="118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/>
      <c r="AL40" s="463"/>
      <c r="AM40" s="463"/>
      <c r="AN40" s="482"/>
      <c r="AO40" s="463"/>
      <c r="AP40" s="463"/>
      <c r="AQ40" s="463"/>
      <c r="AR40" s="463"/>
      <c r="AS40" s="463"/>
      <c r="AT40" s="463"/>
      <c r="AU40" s="463"/>
      <c r="AV40" s="463"/>
      <c r="AW40" s="463"/>
      <c r="AX40" s="463"/>
      <c r="AY40" s="463"/>
      <c r="AZ40" s="463"/>
    </row>
    <row r="41" spans="1:52" s="4" customFormat="1" x14ac:dyDescent="0.2">
      <c r="A41" s="376">
        <v>12730</v>
      </c>
      <c r="B41" s="376" t="s">
        <v>168</v>
      </c>
      <c r="C41" s="376" t="s">
        <v>123</v>
      </c>
      <c r="D41" s="404" t="s">
        <v>2</v>
      </c>
      <c r="E41" s="472"/>
      <c r="F41" s="369"/>
      <c r="G41" s="463">
        <v>8876</v>
      </c>
      <c r="H41" s="463">
        <v>3396</v>
      </c>
      <c r="I41" s="560">
        <v>343.5</v>
      </c>
      <c r="J41" s="543" t="s">
        <v>1</v>
      </c>
      <c r="K41" s="543">
        <v>3419</v>
      </c>
      <c r="L41" s="581"/>
      <c r="M41" s="463">
        <v>0</v>
      </c>
      <c r="N41" s="463">
        <v>0</v>
      </c>
      <c r="O41" s="463">
        <v>0</v>
      </c>
      <c r="P41" s="463"/>
      <c r="Q41" s="543" t="s">
        <v>1</v>
      </c>
      <c r="R41" s="118" t="s">
        <v>418</v>
      </c>
      <c r="S41" s="118" t="s">
        <v>508</v>
      </c>
      <c r="T41" s="118" t="s">
        <v>566</v>
      </c>
      <c r="U41" s="118" t="s">
        <v>615</v>
      </c>
      <c r="V41" s="118" t="s">
        <v>652</v>
      </c>
      <c r="W41" s="118" t="s">
        <v>678</v>
      </c>
      <c r="X41" s="463"/>
      <c r="Y41" s="463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K41" s="463"/>
      <c r="AL41" s="463"/>
      <c r="AM41" s="463"/>
      <c r="AN41" s="482"/>
      <c r="AO41" s="463"/>
      <c r="AP41" s="463"/>
      <c r="AQ41" s="463"/>
      <c r="AR41" s="463"/>
      <c r="AS41" s="463"/>
      <c r="AT41" s="463"/>
      <c r="AU41" s="463"/>
      <c r="AV41" s="463"/>
      <c r="AW41" s="463"/>
      <c r="AX41" s="463"/>
      <c r="AY41" s="463"/>
      <c r="AZ41" s="463"/>
    </row>
    <row r="42" spans="1:52" s="4" customFormat="1" x14ac:dyDescent="0.2">
      <c r="A42" s="376">
        <v>12750</v>
      </c>
      <c r="B42" s="376" t="s">
        <v>175</v>
      </c>
      <c r="C42" s="376" t="s">
        <v>137</v>
      </c>
      <c r="D42" s="404" t="s">
        <v>2</v>
      </c>
      <c r="E42" s="472"/>
      <c r="F42" s="369"/>
      <c r="G42" s="463">
        <v>38119</v>
      </c>
      <c r="H42" s="463">
        <v>23556</v>
      </c>
      <c r="I42" s="560">
        <v>302.3</v>
      </c>
      <c r="J42" s="543" t="s">
        <v>1</v>
      </c>
      <c r="K42" s="543">
        <v>22022</v>
      </c>
      <c r="L42" s="581"/>
      <c r="M42" s="463">
        <v>22138</v>
      </c>
      <c r="N42" s="463">
        <v>21395</v>
      </c>
      <c r="O42" s="463">
        <v>0</v>
      </c>
      <c r="P42" s="543" t="s">
        <v>1</v>
      </c>
      <c r="Q42" s="543" t="s">
        <v>1</v>
      </c>
      <c r="R42" s="118" t="s">
        <v>419</v>
      </c>
      <c r="S42" s="118" t="s">
        <v>509</v>
      </c>
      <c r="T42" s="118" t="s">
        <v>567</v>
      </c>
      <c r="U42" s="118"/>
      <c r="V42" s="118"/>
      <c r="W42" s="118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82"/>
      <c r="AO42" s="463"/>
      <c r="AP42" s="463"/>
      <c r="AQ42" s="463"/>
      <c r="AR42" s="463"/>
      <c r="AS42" s="463"/>
      <c r="AT42" s="463"/>
      <c r="AU42" s="463"/>
      <c r="AV42" s="463"/>
      <c r="AW42" s="463"/>
      <c r="AX42" s="463"/>
      <c r="AY42" s="463"/>
      <c r="AZ42" s="463"/>
    </row>
    <row r="43" spans="1:52" s="4" customFormat="1" x14ac:dyDescent="0.2">
      <c r="A43" s="376">
        <v>12850</v>
      </c>
      <c r="B43" s="376" t="s">
        <v>176</v>
      </c>
      <c r="C43" s="376" t="s">
        <v>129</v>
      </c>
      <c r="D43" s="404" t="s">
        <v>4</v>
      </c>
      <c r="E43" s="472"/>
      <c r="F43" s="369"/>
      <c r="G43" s="463">
        <v>207022</v>
      </c>
      <c r="H43" s="463">
        <v>63104</v>
      </c>
      <c r="I43" s="560">
        <v>478.64</v>
      </c>
      <c r="J43" s="543" t="s">
        <v>1</v>
      </c>
      <c r="K43" s="543">
        <v>57534</v>
      </c>
      <c r="L43" s="581" t="s">
        <v>1</v>
      </c>
      <c r="M43" s="463">
        <v>63104</v>
      </c>
      <c r="N43" s="463">
        <v>0</v>
      </c>
      <c r="O43" s="463">
        <v>0</v>
      </c>
      <c r="P43" s="543" t="s">
        <v>1</v>
      </c>
      <c r="Q43" s="543" t="s">
        <v>1</v>
      </c>
      <c r="R43" s="118" t="s">
        <v>420</v>
      </c>
      <c r="S43" s="118"/>
      <c r="T43" s="118"/>
      <c r="U43" s="118"/>
      <c r="V43" s="118"/>
      <c r="W43" s="118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3"/>
      <c r="AL43" s="463"/>
      <c r="AM43" s="463"/>
      <c r="AN43" s="482"/>
      <c r="AO43" s="463"/>
      <c r="AP43" s="463"/>
      <c r="AQ43" s="463"/>
      <c r="AR43" s="463"/>
      <c r="AS43" s="463"/>
      <c r="AT43" s="463"/>
      <c r="AU43" s="463"/>
      <c r="AV43" s="463"/>
      <c r="AW43" s="463"/>
      <c r="AX43" s="463"/>
      <c r="AY43" s="463"/>
      <c r="AZ43" s="463"/>
    </row>
    <row r="44" spans="1:52" s="4" customFormat="1" x14ac:dyDescent="0.2">
      <c r="A44" s="376">
        <v>12870</v>
      </c>
      <c r="B44" s="376" t="s">
        <v>171</v>
      </c>
      <c r="C44" s="376" t="s">
        <v>123</v>
      </c>
      <c r="D44" s="404" t="s">
        <v>2</v>
      </c>
      <c r="E44" s="472"/>
      <c r="F44" s="369"/>
      <c r="G44" s="463">
        <v>12569</v>
      </c>
      <c r="H44" s="463">
        <v>6857</v>
      </c>
      <c r="I44" s="560">
        <v>270</v>
      </c>
      <c r="J44" s="543" t="s">
        <v>1</v>
      </c>
      <c r="K44" s="543">
        <v>6727</v>
      </c>
      <c r="L44" s="581"/>
      <c r="M44" s="463">
        <v>6058</v>
      </c>
      <c r="N44" s="463">
        <v>0</v>
      </c>
      <c r="O44" s="463">
        <v>6058</v>
      </c>
      <c r="P44" s="463"/>
      <c r="Q44" s="543" t="s">
        <v>1</v>
      </c>
      <c r="R44" s="118" t="s">
        <v>421</v>
      </c>
      <c r="S44" s="118" t="s">
        <v>510</v>
      </c>
      <c r="T44" s="118" t="s">
        <v>568</v>
      </c>
      <c r="U44" s="118" t="s">
        <v>616</v>
      </c>
      <c r="V44" s="118" t="s">
        <v>653</v>
      </c>
      <c r="W44" s="118"/>
      <c r="X44" s="463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J44" s="463"/>
      <c r="AK44" s="463"/>
      <c r="AL44" s="463"/>
      <c r="AM44" s="463"/>
      <c r="AN44" s="482"/>
      <c r="AO44" s="463"/>
      <c r="AP44" s="463"/>
      <c r="AQ44" s="463"/>
      <c r="AR44" s="463"/>
      <c r="AS44" s="463"/>
      <c r="AT44" s="463"/>
      <c r="AU44" s="463"/>
      <c r="AV44" s="463"/>
      <c r="AW44" s="463"/>
      <c r="AX44" s="463"/>
      <c r="AY44" s="463"/>
      <c r="AZ44" s="463"/>
    </row>
    <row r="45" spans="1:52" s="4" customFormat="1" x14ac:dyDescent="0.2">
      <c r="A45" s="376">
        <v>12900</v>
      </c>
      <c r="B45" s="376" t="s">
        <v>177</v>
      </c>
      <c r="C45" s="376" t="s">
        <v>293</v>
      </c>
      <c r="D45" s="404" t="s">
        <v>2</v>
      </c>
      <c r="E45" s="472"/>
      <c r="F45" s="369"/>
      <c r="G45" s="463">
        <v>9768</v>
      </c>
      <c r="H45" s="463">
        <v>4621</v>
      </c>
      <c r="I45" s="560">
        <v>455</v>
      </c>
      <c r="J45" s="543" t="s">
        <v>1</v>
      </c>
      <c r="K45" s="543">
        <v>4172</v>
      </c>
      <c r="L45" s="581"/>
      <c r="M45" s="463">
        <v>3659</v>
      </c>
      <c r="N45" s="463">
        <v>0</v>
      </c>
      <c r="O45" s="463">
        <v>3279</v>
      </c>
      <c r="P45" s="543" t="s">
        <v>1</v>
      </c>
      <c r="Q45" s="543" t="s">
        <v>1</v>
      </c>
      <c r="R45" s="118" t="s">
        <v>422</v>
      </c>
      <c r="S45" s="118"/>
      <c r="T45" s="118"/>
      <c r="U45" s="118"/>
      <c r="V45" s="118"/>
      <c r="W45" s="118"/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82"/>
      <c r="AO45" s="463"/>
      <c r="AP45" s="463"/>
      <c r="AQ45" s="463"/>
      <c r="AR45" s="463"/>
      <c r="AS45" s="463"/>
      <c r="AT45" s="463"/>
      <c r="AU45" s="463"/>
      <c r="AV45" s="463"/>
      <c r="AW45" s="463"/>
      <c r="AX45" s="463"/>
      <c r="AY45" s="463"/>
      <c r="AZ45" s="463"/>
    </row>
    <row r="46" spans="1:52" s="4" customFormat="1" x14ac:dyDescent="0.2">
      <c r="A46" s="376">
        <v>12930</v>
      </c>
      <c r="B46" s="376" t="s">
        <v>193</v>
      </c>
      <c r="C46" s="376" t="s">
        <v>127</v>
      </c>
      <c r="D46" s="404" t="s">
        <v>4</v>
      </c>
      <c r="E46" s="472"/>
      <c r="F46" s="369"/>
      <c r="G46" s="463">
        <v>149489</v>
      </c>
      <c r="H46" s="463">
        <v>54667</v>
      </c>
      <c r="I46" s="560">
        <v>405.84</v>
      </c>
      <c r="J46" s="543" t="s">
        <v>1</v>
      </c>
      <c r="K46" s="543">
        <v>48332</v>
      </c>
      <c r="L46" s="581"/>
      <c r="M46" s="463">
        <v>29154</v>
      </c>
      <c r="N46" s="463">
        <v>18849</v>
      </c>
      <c r="O46" s="463">
        <v>0</v>
      </c>
      <c r="P46" s="543" t="s">
        <v>1</v>
      </c>
      <c r="Q46" s="543" t="s">
        <v>1</v>
      </c>
      <c r="R46" s="118" t="s">
        <v>423</v>
      </c>
      <c r="S46" s="118"/>
      <c r="T46" s="118"/>
      <c r="U46" s="118"/>
      <c r="V46" s="118"/>
      <c r="W46" s="118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463"/>
      <c r="AL46" s="463"/>
      <c r="AM46" s="463"/>
      <c r="AN46" s="482"/>
      <c r="AO46" s="463"/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3"/>
    </row>
    <row r="47" spans="1:52" s="4" customFormat="1" x14ac:dyDescent="0.2">
      <c r="A47" s="376">
        <v>12950</v>
      </c>
      <c r="B47" s="376" t="s">
        <v>178</v>
      </c>
      <c r="C47" s="376" t="s">
        <v>293</v>
      </c>
      <c r="D47" s="404" t="s">
        <v>2</v>
      </c>
      <c r="E47" s="472"/>
      <c r="F47" s="369"/>
      <c r="G47" s="463">
        <v>4349</v>
      </c>
      <c r="H47" s="463">
        <v>2097</v>
      </c>
      <c r="I47" s="560">
        <v>379</v>
      </c>
      <c r="J47" s="543" t="s">
        <v>1</v>
      </c>
      <c r="K47" s="543">
        <v>1069</v>
      </c>
      <c r="L47" s="581"/>
      <c r="M47" s="463">
        <v>1069</v>
      </c>
      <c r="N47" s="463">
        <v>0</v>
      </c>
      <c r="O47" s="463">
        <v>0</v>
      </c>
      <c r="P47" s="463"/>
      <c r="Q47" s="543" t="s">
        <v>1</v>
      </c>
      <c r="R47" s="118" t="s">
        <v>424</v>
      </c>
      <c r="S47" s="118" t="s">
        <v>511</v>
      </c>
      <c r="T47" s="118" t="s">
        <v>569</v>
      </c>
      <c r="U47" s="118" t="s">
        <v>617</v>
      </c>
      <c r="V47" s="118"/>
      <c r="W47" s="118"/>
      <c r="X47" s="463"/>
      <c r="Y47" s="463"/>
      <c r="Z47" s="463"/>
      <c r="AA47" s="463"/>
      <c r="AB47" s="463"/>
      <c r="AC47" s="463"/>
      <c r="AD47" s="463"/>
      <c r="AE47" s="463"/>
      <c r="AF47" s="463"/>
      <c r="AG47" s="463"/>
      <c r="AH47" s="463"/>
      <c r="AI47" s="463"/>
      <c r="AJ47" s="463"/>
      <c r="AK47" s="463"/>
      <c r="AL47" s="463"/>
      <c r="AM47" s="463"/>
      <c r="AN47" s="482"/>
      <c r="AO47" s="463"/>
      <c r="AP47" s="463"/>
      <c r="AQ47" s="463"/>
      <c r="AR47" s="463"/>
      <c r="AS47" s="463"/>
      <c r="AT47" s="463"/>
      <c r="AU47" s="463"/>
      <c r="AV47" s="463"/>
      <c r="AW47" s="463"/>
      <c r="AX47" s="463"/>
      <c r="AY47" s="463"/>
      <c r="AZ47" s="463"/>
    </row>
    <row r="48" spans="1:52" s="4" customFormat="1" x14ac:dyDescent="0.2">
      <c r="A48" s="376">
        <v>13010</v>
      </c>
      <c r="B48" s="376" t="s">
        <v>179</v>
      </c>
      <c r="C48" s="376" t="s">
        <v>125</v>
      </c>
      <c r="D48" s="404" t="s">
        <v>2</v>
      </c>
      <c r="E48" s="472"/>
      <c r="F48" s="369"/>
      <c r="G48" s="463">
        <v>9001</v>
      </c>
      <c r="H48" s="463">
        <v>4280</v>
      </c>
      <c r="I48" s="560">
        <v>300</v>
      </c>
      <c r="J48" s="543" t="s">
        <v>1</v>
      </c>
      <c r="K48" s="543">
        <v>3792</v>
      </c>
      <c r="L48" s="581"/>
      <c r="M48" s="463">
        <v>3792</v>
      </c>
      <c r="N48" s="463">
        <v>0</v>
      </c>
      <c r="O48" s="463">
        <v>0</v>
      </c>
      <c r="P48" s="463"/>
      <c r="Q48" s="543" t="s">
        <v>1</v>
      </c>
      <c r="R48" s="118" t="s">
        <v>425</v>
      </c>
      <c r="S48" s="118" t="s">
        <v>512</v>
      </c>
      <c r="T48" s="118" t="s">
        <v>570</v>
      </c>
      <c r="U48" s="118" t="s">
        <v>618</v>
      </c>
      <c r="V48" s="118"/>
      <c r="W48" s="118"/>
      <c r="X48" s="463"/>
      <c r="Y48" s="463"/>
      <c r="Z48" s="463"/>
      <c r="AA48" s="463"/>
      <c r="AB48" s="463"/>
      <c r="AC48" s="463"/>
      <c r="AD48" s="463"/>
      <c r="AE48" s="463"/>
      <c r="AF48" s="463"/>
      <c r="AG48" s="463"/>
      <c r="AH48" s="463"/>
      <c r="AI48" s="463"/>
      <c r="AJ48" s="463"/>
      <c r="AK48" s="463"/>
      <c r="AL48" s="463"/>
      <c r="AM48" s="463"/>
      <c r="AN48" s="482"/>
      <c r="AO48" s="463"/>
      <c r="AP48" s="463"/>
      <c r="AQ48" s="463"/>
      <c r="AR48" s="463"/>
      <c r="AS48" s="463"/>
      <c r="AT48" s="463"/>
      <c r="AU48" s="463"/>
      <c r="AV48" s="463"/>
      <c r="AW48" s="463"/>
      <c r="AX48" s="463"/>
      <c r="AY48" s="463"/>
      <c r="AZ48" s="463"/>
    </row>
    <row r="49" spans="1:52" s="4" customFormat="1" x14ac:dyDescent="0.2">
      <c r="A49" s="376">
        <v>13310</v>
      </c>
      <c r="B49" s="376" t="s">
        <v>182</v>
      </c>
      <c r="C49" s="376" t="s">
        <v>137</v>
      </c>
      <c r="D49" s="404" t="s">
        <v>2</v>
      </c>
      <c r="E49" s="472"/>
      <c r="F49" s="369"/>
      <c r="G49" s="463">
        <v>29918</v>
      </c>
      <c r="H49" s="463">
        <v>14019</v>
      </c>
      <c r="I49" s="560">
        <v>287</v>
      </c>
      <c r="J49" s="543" t="s">
        <v>1</v>
      </c>
      <c r="K49" s="543">
        <v>10750</v>
      </c>
      <c r="L49" s="581"/>
      <c r="M49" s="463">
        <v>10771</v>
      </c>
      <c r="N49" s="463">
        <v>0</v>
      </c>
      <c r="O49" s="463">
        <v>4297</v>
      </c>
      <c r="P49" s="543" t="s">
        <v>1</v>
      </c>
      <c r="Q49" s="543" t="s">
        <v>1</v>
      </c>
      <c r="R49" s="118" t="s">
        <v>426</v>
      </c>
      <c r="S49" s="118" t="s">
        <v>513</v>
      </c>
      <c r="T49" s="118" t="s">
        <v>571</v>
      </c>
      <c r="U49" s="118"/>
      <c r="V49" s="118"/>
      <c r="W49" s="118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82"/>
      <c r="AO49" s="463"/>
      <c r="AP49" s="463"/>
      <c r="AQ49" s="463"/>
      <c r="AR49" s="463"/>
      <c r="AS49" s="463"/>
      <c r="AT49" s="463"/>
      <c r="AU49" s="463"/>
      <c r="AV49" s="463"/>
      <c r="AW49" s="463"/>
      <c r="AX49" s="463"/>
      <c r="AY49" s="463"/>
      <c r="AZ49" s="463"/>
    </row>
    <row r="50" spans="1:52" s="4" customFormat="1" x14ac:dyDescent="0.2">
      <c r="A50" s="376">
        <v>13340</v>
      </c>
      <c r="B50" s="376" t="s">
        <v>183</v>
      </c>
      <c r="C50" s="376" t="s">
        <v>142</v>
      </c>
      <c r="D50" s="404" t="s">
        <v>2</v>
      </c>
      <c r="E50" s="472"/>
      <c r="F50" s="369"/>
      <c r="G50" s="463">
        <v>10406</v>
      </c>
      <c r="H50" s="463">
        <v>3620</v>
      </c>
      <c r="I50" s="560">
        <v>239</v>
      </c>
      <c r="J50" s="543" t="s">
        <v>1</v>
      </c>
      <c r="K50" s="543">
        <v>2930</v>
      </c>
      <c r="L50" s="581"/>
      <c r="M50" s="463">
        <v>2880</v>
      </c>
      <c r="N50" s="463">
        <v>0</v>
      </c>
      <c r="O50" s="463">
        <v>0</v>
      </c>
      <c r="P50" s="463"/>
      <c r="Q50" s="543" t="s">
        <v>1</v>
      </c>
      <c r="R50" s="118" t="s">
        <v>427</v>
      </c>
      <c r="S50" s="118" t="s">
        <v>514</v>
      </c>
      <c r="T50" s="118" t="s">
        <v>572</v>
      </c>
      <c r="U50" s="118" t="s">
        <v>619</v>
      </c>
      <c r="V50" s="118" t="s">
        <v>654</v>
      </c>
      <c r="W50" s="118" t="s">
        <v>679</v>
      </c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3"/>
      <c r="AN50" s="482"/>
      <c r="AO50" s="463"/>
      <c r="AP50" s="463"/>
      <c r="AQ50" s="463"/>
      <c r="AR50" s="463"/>
      <c r="AS50" s="463"/>
      <c r="AT50" s="463"/>
      <c r="AU50" s="463"/>
      <c r="AV50" s="463"/>
      <c r="AW50" s="463"/>
      <c r="AX50" s="463"/>
      <c r="AY50" s="463"/>
      <c r="AZ50" s="463"/>
    </row>
    <row r="51" spans="1:52" s="4" customFormat="1" x14ac:dyDescent="0.2">
      <c r="A51" s="376">
        <v>13450</v>
      </c>
      <c r="B51" s="376" t="s">
        <v>184</v>
      </c>
      <c r="C51" s="376" t="s">
        <v>160</v>
      </c>
      <c r="D51" s="404" t="s">
        <v>2</v>
      </c>
      <c r="E51" s="472"/>
      <c r="F51" s="369"/>
      <c r="G51" s="463">
        <v>26125</v>
      </c>
      <c r="H51" s="463">
        <v>10531</v>
      </c>
      <c r="I51" s="560">
        <v>268</v>
      </c>
      <c r="J51" s="543" t="s">
        <v>1</v>
      </c>
      <c r="K51" s="543">
        <v>9426</v>
      </c>
      <c r="L51" s="581"/>
      <c r="M51" s="463">
        <v>8806</v>
      </c>
      <c r="N51" s="463">
        <v>0</v>
      </c>
      <c r="O51" s="463">
        <v>0</v>
      </c>
      <c r="P51" s="463"/>
      <c r="Q51" s="543" t="s">
        <v>1</v>
      </c>
      <c r="R51" s="118" t="s">
        <v>428</v>
      </c>
      <c r="S51" s="118"/>
      <c r="T51" s="118"/>
      <c r="U51" s="118"/>
      <c r="V51" s="118"/>
      <c r="W51" s="118"/>
      <c r="X51" s="463"/>
      <c r="Y51" s="463"/>
      <c r="Z51" s="463"/>
      <c r="AA51" s="463"/>
      <c r="AB51" s="463"/>
      <c r="AC51" s="463"/>
      <c r="AD51" s="463"/>
      <c r="AE51" s="463"/>
      <c r="AF51" s="463"/>
      <c r="AG51" s="463"/>
      <c r="AH51" s="463"/>
      <c r="AI51" s="463"/>
      <c r="AJ51" s="463"/>
      <c r="AK51" s="463"/>
      <c r="AL51" s="463"/>
      <c r="AM51" s="463"/>
      <c r="AN51" s="482"/>
      <c r="AO51" s="463"/>
      <c r="AP51" s="463"/>
      <c r="AQ51" s="463"/>
      <c r="AR51" s="463"/>
      <c r="AS51" s="463"/>
      <c r="AT51" s="463"/>
      <c r="AU51" s="463"/>
      <c r="AV51" s="463"/>
      <c r="AW51" s="463"/>
      <c r="AX51" s="463"/>
      <c r="AY51" s="463"/>
      <c r="AZ51" s="463"/>
    </row>
    <row r="52" spans="1:52" s="4" customFormat="1" x14ac:dyDescent="0.2">
      <c r="A52" s="376">
        <v>13510</v>
      </c>
      <c r="B52" s="376" t="s">
        <v>295</v>
      </c>
      <c r="C52" s="376" t="s">
        <v>142</v>
      </c>
      <c r="D52" s="404" t="s">
        <v>2</v>
      </c>
      <c r="E52" s="472"/>
      <c r="F52" s="369"/>
      <c r="G52" s="463">
        <v>11392</v>
      </c>
      <c r="H52" s="463">
        <v>5193</v>
      </c>
      <c r="I52" s="560">
        <v>385.5</v>
      </c>
      <c r="J52" s="543" t="s">
        <v>1</v>
      </c>
      <c r="K52" s="543">
        <v>5193</v>
      </c>
      <c r="L52" s="581"/>
      <c r="M52" s="463">
        <v>5193</v>
      </c>
      <c r="N52" s="463">
        <v>3495</v>
      </c>
      <c r="O52" s="463">
        <v>880</v>
      </c>
      <c r="P52" s="463"/>
      <c r="Q52" s="543" t="s">
        <v>1</v>
      </c>
      <c r="R52" s="118" t="s">
        <v>429</v>
      </c>
      <c r="S52" s="118" t="s">
        <v>515</v>
      </c>
      <c r="T52" s="118" t="s">
        <v>573</v>
      </c>
      <c r="U52" s="118" t="s">
        <v>620</v>
      </c>
      <c r="V52" s="118" t="s">
        <v>655</v>
      </c>
      <c r="W52" s="118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82"/>
      <c r="AO52" s="463"/>
      <c r="AP52" s="463"/>
      <c r="AQ52" s="463"/>
      <c r="AR52" s="463"/>
      <c r="AS52" s="463"/>
      <c r="AT52" s="463"/>
      <c r="AU52" s="463"/>
      <c r="AV52" s="463"/>
      <c r="AW52" s="463"/>
      <c r="AX52" s="463"/>
      <c r="AY52" s="463"/>
      <c r="AZ52" s="463"/>
    </row>
    <row r="53" spans="1:52" s="4" customFormat="1" x14ac:dyDescent="0.2">
      <c r="A53" s="376">
        <v>13550</v>
      </c>
      <c r="B53" s="376" t="s">
        <v>185</v>
      </c>
      <c r="C53" s="376" t="s">
        <v>125</v>
      </c>
      <c r="D53" s="404" t="s">
        <v>2</v>
      </c>
      <c r="E53" s="472"/>
      <c r="F53" s="369"/>
      <c r="G53" s="463">
        <v>12989</v>
      </c>
      <c r="H53" s="463">
        <v>4277</v>
      </c>
      <c r="I53" s="560">
        <v>344</v>
      </c>
      <c r="J53" s="543" t="s">
        <v>1</v>
      </c>
      <c r="K53" s="543">
        <v>4277</v>
      </c>
      <c r="L53" s="581"/>
      <c r="M53" s="463">
        <v>4277</v>
      </c>
      <c r="N53" s="463">
        <v>3392</v>
      </c>
      <c r="O53" s="463">
        <v>0</v>
      </c>
      <c r="P53" s="463"/>
      <c r="Q53" s="543" t="s">
        <v>1</v>
      </c>
      <c r="R53" s="118" t="s">
        <v>430</v>
      </c>
      <c r="S53" s="118" t="s">
        <v>516</v>
      </c>
      <c r="T53" s="118" t="s">
        <v>574</v>
      </c>
      <c r="U53" s="118" t="s">
        <v>621</v>
      </c>
      <c r="V53" s="118" t="s">
        <v>656</v>
      </c>
      <c r="W53" s="118" t="s">
        <v>680</v>
      </c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82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</row>
    <row r="54" spans="1:52" s="4" customFormat="1" x14ac:dyDescent="0.2">
      <c r="A54" s="376">
        <v>13660</v>
      </c>
      <c r="B54" s="376" t="s">
        <v>186</v>
      </c>
      <c r="C54" s="376" t="s">
        <v>125</v>
      </c>
      <c r="D54" s="404" t="s">
        <v>2</v>
      </c>
      <c r="E54" s="472"/>
      <c r="F54" s="369"/>
      <c r="G54" s="463">
        <v>5030</v>
      </c>
      <c r="H54" s="463">
        <v>1708</v>
      </c>
      <c r="I54" s="560">
        <v>422</v>
      </c>
      <c r="J54" s="543" t="s">
        <v>1</v>
      </c>
      <c r="K54" s="543">
        <v>1330</v>
      </c>
      <c r="L54" s="581"/>
      <c r="M54" s="463">
        <v>1330</v>
      </c>
      <c r="N54" s="463">
        <v>0</v>
      </c>
      <c r="O54" s="463">
        <v>1330</v>
      </c>
      <c r="P54" s="463"/>
      <c r="Q54" s="543" t="s">
        <v>1</v>
      </c>
      <c r="R54" s="118" t="s">
        <v>431</v>
      </c>
      <c r="S54" s="118" t="s">
        <v>517</v>
      </c>
      <c r="T54" s="118" t="s">
        <v>575</v>
      </c>
      <c r="U54" s="118" t="s">
        <v>622</v>
      </c>
      <c r="V54" s="118" t="s">
        <v>657</v>
      </c>
      <c r="W54" s="118" t="s">
        <v>681</v>
      </c>
      <c r="X54" s="463"/>
      <c r="Y54" s="463"/>
      <c r="Z54" s="463"/>
      <c r="AA54" s="463"/>
      <c r="AB54" s="463"/>
      <c r="AC54" s="463"/>
      <c r="AD54" s="463"/>
      <c r="AE54" s="463"/>
      <c r="AF54" s="463"/>
      <c r="AG54" s="463"/>
      <c r="AH54" s="463"/>
      <c r="AI54" s="463"/>
      <c r="AJ54" s="463"/>
      <c r="AK54" s="463"/>
      <c r="AL54" s="463"/>
      <c r="AM54" s="463"/>
      <c r="AN54" s="482"/>
      <c r="AO54" s="463"/>
      <c r="AP54" s="463"/>
      <c r="AQ54" s="463"/>
      <c r="AR54" s="463"/>
      <c r="AS54" s="463"/>
      <c r="AT54" s="463"/>
      <c r="AU54" s="463"/>
      <c r="AV54" s="463"/>
      <c r="AW54" s="463"/>
      <c r="AX54" s="463"/>
      <c r="AY54" s="463"/>
      <c r="AZ54" s="463"/>
    </row>
    <row r="55" spans="1:52" s="4" customFormat="1" x14ac:dyDescent="0.2">
      <c r="A55" s="376">
        <v>13800</v>
      </c>
      <c r="B55" s="376" t="s">
        <v>188</v>
      </c>
      <c r="C55" s="376" t="s">
        <v>129</v>
      </c>
      <c r="D55" s="404" t="s">
        <v>3</v>
      </c>
      <c r="E55" s="472"/>
      <c r="F55" s="369"/>
      <c r="G55" s="463">
        <v>66782</v>
      </c>
      <c r="H55" s="463">
        <v>24056</v>
      </c>
      <c r="I55" s="560">
        <v>515.21</v>
      </c>
      <c r="J55" s="543" t="s">
        <v>1</v>
      </c>
      <c r="K55" s="543">
        <v>22599</v>
      </c>
      <c r="L55" s="581"/>
      <c r="M55" s="463">
        <v>22599</v>
      </c>
      <c r="N55" s="463">
        <v>13180</v>
      </c>
      <c r="O55" s="463">
        <v>0</v>
      </c>
      <c r="P55" s="543" t="s">
        <v>1</v>
      </c>
      <c r="Q55" s="543" t="s">
        <v>1</v>
      </c>
      <c r="R55" s="118" t="s">
        <v>432</v>
      </c>
      <c r="S55" s="118"/>
      <c r="T55" s="118"/>
      <c r="U55" s="118"/>
      <c r="V55" s="118"/>
      <c r="W55" s="118"/>
      <c r="X55" s="463"/>
      <c r="Y55" s="463"/>
      <c r="Z55" s="463"/>
      <c r="AA55" s="463"/>
      <c r="AB55" s="463"/>
      <c r="AC55" s="463"/>
      <c r="AD55" s="463"/>
      <c r="AE55" s="463"/>
      <c r="AF55" s="463"/>
      <c r="AG55" s="463"/>
      <c r="AH55" s="463"/>
      <c r="AI55" s="463"/>
      <c r="AJ55" s="463"/>
      <c r="AK55" s="463"/>
      <c r="AL55" s="463"/>
      <c r="AM55" s="463"/>
      <c r="AN55" s="482"/>
      <c r="AO55" s="463"/>
      <c r="AP55" s="463"/>
      <c r="AQ55" s="463"/>
      <c r="AR55" s="463"/>
      <c r="AS55" s="463"/>
      <c r="AT55" s="463"/>
      <c r="AU55" s="463"/>
      <c r="AV55" s="463"/>
      <c r="AW55" s="463"/>
      <c r="AX55" s="463"/>
      <c r="AY55" s="463"/>
      <c r="AZ55" s="463"/>
    </row>
    <row r="56" spans="1:52" s="4" customFormat="1" x14ac:dyDescent="0.2">
      <c r="A56" s="376">
        <v>13850</v>
      </c>
      <c r="B56" s="376" t="s">
        <v>189</v>
      </c>
      <c r="C56" s="376" t="s">
        <v>160</v>
      </c>
      <c r="D56" s="404" t="s">
        <v>2</v>
      </c>
      <c r="E56" s="472"/>
      <c r="F56" s="369"/>
      <c r="G56" s="463">
        <v>2956</v>
      </c>
      <c r="H56" s="463">
        <v>1179</v>
      </c>
      <c r="I56" s="560">
        <v>262</v>
      </c>
      <c r="J56" s="543" t="s">
        <v>1</v>
      </c>
      <c r="K56" s="543">
        <v>1420</v>
      </c>
      <c r="L56" s="581"/>
      <c r="M56" s="463">
        <v>0</v>
      </c>
      <c r="N56" s="463">
        <v>0</v>
      </c>
      <c r="O56" s="463">
        <v>0</v>
      </c>
      <c r="P56" s="463"/>
      <c r="Q56" s="543" t="s">
        <v>1</v>
      </c>
      <c r="R56" s="118" t="s">
        <v>433</v>
      </c>
      <c r="S56" s="118"/>
      <c r="T56" s="118"/>
      <c r="U56" s="118"/>
      <c r="V56" s="118"/>
      <c r="W56" s="118"/>
      <c r="X56" s="463"/>
      <c r="Y56" s="463"/>
      <c r="Z56" s="463"/>
      <c r="AA56" s="463"/>
      <c r="AB56" s="463"/>
      <c r="AC56" s="463"/>
      <c r="AD56" s="463"/>
      <c r="AE56" s="463"/>
      <c r="AF56" s="463"/>
      <c r="AG56" s="463"/>
      <c r="AH56" s="463"/>
      <c r="AI56" s="463"/>
      <c r="AJ56" s="463"/>
      <c r="AK56" s="463"/>
      <c r="AL56" s="463"/>
      <c r="AM56" s="463"/>
      <c r="AN56" s="482"/>
      <c r="AO56" s="463"/>
      <c r="AP56" s="463"/>
      <c r="AQ56" s="463"/>
      <c r="AR56" s="463"/>
      <c r="AS56" s="463"/>
      <c r="AT56" s="463"/>
      <c r="AU56" s="463"/>
      <c r="AV56" s="463"/>
      <c r="AW56" s="463"/>
      <c r="AX56" s="463"/>
      <c r="AY56" s="463"/>
      <c r="AZ56" s="463"/>
    </row>
    <row r="57" spans="1:52" s="4" customFormat="1" x14ac:dyDescent="0.2">
      <c r="A57" s="376">
        <v>13910</v>
      </c>
      <c r="B57" s="376" t="s">
        <v>148</v>
      </c>
      <c r="C57" s="376" t="s">
        <v>137</v>
      </c>
      <c r="D57" s="404" t="s">
        <v>2</v>
      </c>
      <c r="E57" s="472"/>
      <c r="F57" s="369"/>
      <c r="G57" s="463">
        <v>18993</v>
      </c>
      <c r="H57" s="463">
        <v>11024</v>
      </c>
      <c r="I57" s="560">
        <v>382.5</v>
      </c>
      <c r="J57" s="543" t="s">
        <v>1</v>
      </c>
      <c r="K57" s="543">
        <v>5343</v>
      </c>
      <c r="L57" s="581"/>
      <c r="M57" s="463">
        <v>5273</v>
      </c>
      <c r="N57" s="463">
        <v>3577</v>
      </c>
      <c r="O57" s="463">
        <v>987</v>
      </c>
      <c r="P57" s="463"/>
      <c r="Q57" s="543" t="s">
        <v>1</v>
      </c>
      <c r="R57" s="118" t="s">
        <v>434</v>
      </c>
      <c r="S57" s="118" t="s">
        <v>518</v>
      </c>
      <c r="T57" s="118" t="s">
        <v>576</v>
      </c>
      <c r="U57" s="118" t="s">
        <v>623</v>
      </c>
      <c r="V57" s="118" t="s">
        <v>658</v>
      </c>
      <c r="W57" s="118" t="s">
        <v>682</v>
      </c>
      <c r="X57" s="463"/>
      <c r="Y57" s="463"/>
      <c r="Z57" s="463"/>
      <c r="AA57" s="463"/>
      <c r="AB57" s="463"/>
      <c r="AC57" s="463"/>
      <c r="AD57" s="463"/>
      <c r="AE57" s="463"/>
      <c r="AF57" s="463"/>
      <c r="AG57" s="463"/>
      <c r="AH57" s="463"/>
      <c r="AI57" s="463"/>
      <c r="AJ57" s="463"/>
      <c r="AK57" s="463"/>
      <c r="AL57" s="463"/>
      <c r="AM57" s="463"/>
      <c r="AN57" s="482"/>
      <c r="AO57" s="463"/>
      <c r="AP57" s="463"/>
      <c r="AQ57" s="463"/>
      <c r="AR57" s="463"/>
      <c r="AS57" s="463"/>
      <c r="AT57" s="463"/>
      <c r="AU57" s="463"/>
      <c r="AV57" s="463"/>
      <c r="AW57" s="463"/>
      <c r="AX57" s="463"/>
      <c r="AY57" s="463"/>
      <c r="AZ57" s="463"/>
    </row>
    <row r="58" spans="1:52" s="4" customFormat="1" x14ac:dyDescent="0.2">
      <c r="A58" s="376">
        <v>14000</v>
      </c>
      <c r="B58" s="376" t="s">
        <v>191</v>
      </c>
      <c r="C58" s="376" t="s">
        <v>190</v>
      </c>
      <c r="D58" s="404" t="s">
        <v>4</v>
      </c>
      <c r="E58" s="472"/>
      <c r="F58" s="369"/>
      <c r="G58" s="463">
        <v>151237</v>
      </c>
      <c r="H58" s="463">
        <v>42686</v>
      </c>
      <c r="I58" s="560">
        <v>436</v>
      </c>
      <c r="J58" s="543" t="s">
        <v>1</v>
      </c>
      <c r="K58" s="543">
        <v>42706</v>
      </c>
      <c r="L58" s="581"/>
      <c r="M58" s="463">
        <v>42701</v>
      </c>
      <c r="N58" s="463">
        <v>39215</v>
      </c>
      <c r="O58" s="463">
        <v>0</v>
      </c>
      <c r="P58" s="543" t="s">
        <v>1</v>
      </c>
      <c r="Q58" s="543" t="s">
        <v>1</v>
      </c>
      <c r="R58" s="118" t="s">
        <v>435</v>
      </c>
      <c r="S58" s="118"/>
      <c r="T58" s="118"/>
      <c r="U58" s="118"/>
      <c r="V58" s="118"/>
      <c r="W58" s="118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63"/>
      <c r="AL58" s="463"/>
      <c r="AM58" s="463"/>
      <c r="AN58" s="482"/>
      <c r="AO58" s="463"/>
      <c r="AP58" s="463"/>
      <c r="AQ58" s="463"/>
      <c r="AR58" s="463"/>
      <c r="AS58" s="463"/>
      <c r="AT58" s="463"/>
      <c r="AU58" s="463"/>
      <c r="AV58" s="463"/>
      <c r="AW58" s="463"/>
      <c r="AX58" s="463"/>
      <c r="AY58" s="463"/>
      <c r="AZ58" s="463"/>
    </row>
    <row r="59" spans="1:52" s="4" customFormat="1" x14ac:dyDescent="0.2">
      <c r="A59" s="376">
        <v>14100</v>
      </c>
      <c r="B59" s="376" t="s">
        <v>192</v>
      </c>
      <c r="C59" s="376" t="s">
        <v>190</v>
      </c>
      <c r="D59" s="404" t="s">
        <v>4</v>
      </c>
      <c r="E59" s="472"/>
      <c r="F59" s="369"/>
      <c r="G59" s="463">
        <v>14843</v>
      </c>
      <c r="H59" s="463">
        <v>4916</v>
      </c>
      <c r="I59" s="560">
        <v>493.95</v>
      </c>
      <c r="J59" s="543" t="s">
        <v>1</v>
      </c>
      <c r="K59" s="543">
        <v>4402</v>
      </c>
      <c r="L59" s="581"/>
      <c r="M59" s="463">
        <v>4340</v>
      </c>
      <c r="N59" s="463">
        <v>4340</v>
      </c>
      <c r="O59" s="463">
        <v>0</v>
      </c>
      <c r="P59" s="543" t="s">
        <v>1</v>
      </c>
      <c r="Q59" s="463"/>
      <c r="R59" s="118"/>
      <c r="S59" s="118"/>
      <c r="T59" s="118"/>
      <c r="U59" s="118"/>
      <c r="V59" s="118"/>
      <c r="W59" s="118"/>
      <c r="X59" s="463"/>
      <c r="Y59" s="463"/>
      <c r="Z59" s="463"/>
      <c r="AA59" s="463"/>
      <c r="AB59" s="463"/>
      <c r="AC59" s="463"/>
      <c r="AD59" s="463"/>
      <c r="AE59" s="463"/>
      <c r="AF59" s="463"/>
      <c r="AG59" s="463"/>
      <c r="AH59" s="463"/>
      <c r="AI59" s="463"/>
      <c r="AJ59" s="463"/>
      <c r="AK59" s="463"/>
      <c r="AL59" s="463"/>
      <c r="AM59" s="463"/>
      <c r="AN59" s="482"/>
      <c r="AO59" s="463"/>
      <c r="AP59" s="463"/>
      <c r="AQ59" s="463"/>
      <c r="AR59" s="463"/>
      <c r="AS59" s="463"/>
      <c r="AT59" s="463"/>
      <c r="AU59" s="463"/>
      <c r="AV59" s="463"/>
      <c r="AW59" s="463"/>
      <c r="AX59" s="463"/>
      <c r="AY59" s="463"/>
      <c r="AZ59" s="463"/>
    </row>
    <row r="60" spans="1:52" s="4" customFormat="1" x14ac:dyDescent="0.2">
      <c r="A60" s="376">
        <v>14170</v>
      </c>
      <c r="B60" s="376" t="s">
        <v>128</v>
      </c>
      <c r="C60" s="376" t="s">
        <v>127</v>
      </c>
      <c r="D60" s="404" t="s">
        <v>4</v>
      </c>
      <c r="E60" s="472"/>
      <c r="F60" s="369"/>
      <c r="G60" s="463">
        <v>189576</v>
      </c>
      <c r="H60" s="463">
        <v>74418</v>
      </c>
      <c r="I60" s="560">
        <v>386.28</v>
      </c>
      <c r="J60" s="543" t="s">
        <v>1</v>
      </c>
      <c r="K60" s="543">
        <v>72903</v>
      </c>
      <c r="L60" s="581"/>
      <c r="M60" s="463">
        <v>73041</v>
      </c>
      <c r="N60" s="463">
        <v>24104</v>
      </c>
      <c r="O60" s="463">
        <v>618</v>
      </c>
      <c r="P60" s="543" t="s">
        <v>1</v>
      </c>
      <c r="Q60" s="543" t="s">
        <v>1</v>
      </c>
      <c r="R60" s="118" t="s">
        <v>436</v>
      </c>
      <c r="S60" s="118"/>
      <c r="T60" s="118"/>
      <c r="U60" s="118"/>
      <c r="V60" s="118"/>
      <c r="W60" s="118"/>
      <c r="X60" s="463"/>
      <c r="Y60" s="463"/>
      <c r="Z60" s="463"/>
      <c r="AA60" s="463"/>
      <c r="AB60" s="463"/>
      <c r="AC60" s="463"/>
      <c r="AD60" s="463"/>
      <c r="AE60" s="463"/>
      <c r="AF60" s="463"/>
      <c r="AG60" s="463"/>
      <c r="AH60" s="463"/>
      <c r="AI60" s="463"/>
      <c r="AJ60" s="463"/>
      <c r="AK60" s="463"/>
      <c r="AL60" s="463"/>
      <c r="AM60" s="463"/>
      <c r="AN60" s="482"/>
      <c r="AO60" s="463"/>
      <c r="AP60" s="463"/>
      <c r="AQ60" s="463"/>
      <c r="AR60" s="463"/>
      <c r="AS60" s="463"/>
      <c r="AT60" s="463"/>
      <c r="AU60" s="463"/>
      <c r="AV60" s="463"/>
      <c r="AW60" s="463"/>
      <c r="AX60" s="463"/>
      <c r="AY60" s="463"/>
      <c r="AZ60" s="463"/>
    </row>
    <row r="61" spans="1:52" s="4" customFormat="1" x14ac:dyDescent="0.2">
      <c r="A61" s="376">
        <v>14200</v>
      </c>
      <c r="B61" s="376" t="s">
        <v>194</v>
      </c>
      <c r="C61" s="376" t="s">
        <v>125</v>
      </c>
      <c r="D61" s="404" t="s">
        <v>2</v>
      </c>
      <c r="E61" s="472"/>
      <c r="F61" s="369"/>
      <c r="G61" s="463">
        <v>17042</v>
      </c>
      <c r="H61" s="463">
        <v>6764</v>
      </c>
      <c r="I61" s="560">
        <v>300</v>
      </c>
      <c r="J61" s="543" t="s">
        <v>1</v>
      </c>
      <c r="K61" s="543">
        <v>6624</v>
      </c>
      <c r="L61" s="581"/>
      <c r="M61" s="463">
        <v>4666</v>
      </c>
      <c r="N61" s="463">
        <v>0</v>
      </c>
      <c r="O61" s="463">
        <v>0</v>
      </c>
      <c r="P61" s="463"/>
      <c r="Q61" s="543" t="s">
        <v>1</v>
      </c>
      <c r="R61" s="118" t="s">
        <v>437</v>
      </c>
      <c r="S61" s="118" t="s">
        <v>519</v>
      </c>
      <c r="T61" s="118" t="s">
        <v>577</v>
      </c>
      <c r="U61" s="118" t="s">
        <v>624</v>
      </c>
      <c r="V61" s="118"/>
      <c r="W61" s="118"/>
      <c r="X61" s="463"/>
      <c r="Y61" s="463"/>
      <c r="Z61" s="463"/>
      <c r="AA61" s="463"/>
      <c r="AB61" s="463"/>
      <c r="AC61" s="463"/>
      <c r="AD61" s="463"/>
      <c r="AE61" s="463"/>
      <c r="AF61" s="463"/>
      <c r="AG61" s="463"/>
      <c r="AH61" s="463"/>
      <c r="AI61" s="463"/>
      <c r="AJ61" s="463"/>
      <c r="AK61" s="463"/>
      <c r="AL61" s="463"/>
      <c r="AM61" s="463"/>
      <c r="AN61" s="482"/>
      <c r="AO61" s="463"/>
      <c r="AP61" s="463"/>
      <c r="AQ61" s="463"/>
      <c r="AR61" s="463"/>
      <c r="AS61" s="463"/>
      <c r="AT61" s="463"/>
      <c r="AU61" s="463"/>
      <c r="AV61" s="463"/>
      <c r="AW61" s="463"/>
      <c r="AX61" s="463"/>
      <c r="AY61" s="463"/>
      <c r="AZ61" s="463"/>
    </row>
    <row r="62" spans="1:52" s="4" customFormat="1" x14ac:dyDescent="0.2">
      <c r="A62" s="376">
        <v>14300</v>
      </c>
      <c r="B62" s="376" t="s">
        <v>196</v>
      </c>
      <c r="C62" s="376" t="s">
        <v>142</v>
      </c>
      <c r="D62" s="404" t="s">
        <v>2</v>
      </c>
      <c r="E62" s="472"/>
      <c r="F62" s="369"/>
      <c r="G62" s="463">
        <v>6329</v>
      </c>
      <c r="H62" s="463">
        <v>1914</v>
      </c>
      <c r="I62" s="560">
        <v>277</v>
      </c>
      <c r="J62" s="543" t="s">
        <v>1</v>
      </c>
      <c r="K62" s="543">
        <v>1740</v>
      </c>
      <c r="L62" s="581"/>
      <c r="M62" s="463">
        <v>1740</v>
      </c>
      <c r="N62" s="463">
        <v>0</v>
      </c>
      <c r="O62" s="463">
        <v>1740</v>
      </c>
      <c r="P62" s="463"/>
      <c r="Q62" s="543" t="s">
        <v>1</v>
      </c>
      <c r="R62" s="118" t="s">
        <v>438</v>
      </c>
      <c r="S62" s="118" t="s">
        <v>520</v>
      </c>
      <c r="T62" s="118"/>
      <c r="U62" s="118"/>
      <c r="V62" s="118"/>
      <c r="W62" s="118"/>
      <c r="X62" s="463"/>
      <c r="Y62" s="463"/>
      <c r="Z62" s="463"/>
      <c r="AA62" s="463"/>
      <c r="AB62" s="463"/>
      <c r="AC62" s="463"/>
      <c r="AD62" s="463"/>
      <c r="AE62" s="463"/>
      <c r="AF62" s="463"/>
      <c r="AG62" s="463"/>
      <c r="AH62" s="463"/>
      <c r="AI62" s="463"/>
      <c r="AJ62" s="463"/>
      <c r="AK62" s="463"/>
      <c r="AL62" s="463"/>
      <c r="AM62" s="463"/>
      <c r="AN62" s="482"/>
      <c r="AO62" s="463"/>
      <c r="AP62" s="463"/>
      <c r="AQ62" s="463"/>
      <c r="AR62" s="463"/>
      <c r="AS62" s="463"/>
      <c r="AT62" s="463"/>
      <c r="AU62" s="463"/>
      <c r="AV62" s="463"/>
      <c r="AW62" s="463"/>
      <c r="AX62" s="463"/>
      <c r="AY62" s="463"/>
      <c r="AZ62" s="463"/>
    </row>
    <row r="63" spans="1:52" s="4" customFormat="1" x14ac:dyDescent="0.2">
      <c r="A63" s="376">
        <v>14350</v>
      </c>
      <c r="B63" s="376" t="s">
        <v>197</v>
      </c>
      <c r="C63" s="376" t="s">
        <v>294</v>
      </c>
      <c r="D63" s="404" t="s">
        <v>5</v>
      </c>
      <c r="E63" s="472"/>
      <c r="F63" s="369"/>
      <c r="G63" s="463">
        <v>29842</v>
      </c>
      <c r="H63" s="463">
        <v>12979</v>
      </c>
      <c r="I63" s="560">
        <v>422</v>
      </c>
      <c r="J63" s="543" t="s">
        <v>1</v>
      </c>
      <c r="K63" s="543">
        <v>11871</v>
      </c>
      <c r="L63" s="581"/>
      <c r="M63" s="463">
        <v>11851</v>
      </c>
      <c r="N63" s="463">
        <v>0</v>
      </c>
      <c r="O63" s="463">
        <v>7744</v>
      </c>
      <c r="P63" s="463"/>
      <c r="Q63" s="543" t="s">
        <v>1</v>
      </c>
      <c r="R63" s="118" t="s">
        <v>439</v>
      </c>
      <c r="S63" s="118" t="s">
        <v>521</v>
      </c>
      <c r="T63" s="118" t="s">
        <v>578</v>
      </c>
      <c r="U63" s="118" t="s">
        <v>625</v>
      </c>
      <c r="V63" s="118"/>
      <c r="W63" s="118"/>
      <c r="X63" s="463"/>
      <c r="Y63" s="463"/>
      <c r="Z63" s="463"/>
      <c r="AA63" s="463"/>
      <c r="AB63" s="463"/>
      <c r="AC63" s="463"/>
      <c r="AD63" s="463"/>
      <c r="AE63" s="463"/>
      <c r="AF63" s="463"/>
      <c r="AG63" s="463"/>
      <c r="AH63" s="463"/>
      <c r="AI63" s="463"/>
      <c r="AJ63" s="463"/>
      <c r="AK63" s="463"/>
      <c r="AL63" s="463"/>
      <c r="AM63" s="463"/>
      <c r="AN63" s="482"/>
      <c r="AO63" s="463"/>
      <c r="AP63" s="463"/>
      <c r="AQ63" s="463"/>
      <c r="AR63" s="463"/>
      <c r="AS63" s="463"/>
      <c r="AT63" s="463"/>
      <c r="AU63" s="463"/>
      <c r="AV63" s="463"/>
      <c r="AW63" s="463"/>
      <c r="AX63" s="463"/>
      <c r="AY63" s="463"/>
      <c r="AZ63" s="463"/>
    </row>
    <row r="64" spans="1:52" s="4" customFormat="1" x14ac:dyDescent="0.2">
      <c r="A64" s="376">
        <v>14400</v>
      </c>
      <c r="B64" s="376" t="s">
        <v>198</v>
      </c>
      <c r="C64" s="376" t="s">
        <v>291</v>
      </c>
      <c r="D64" s="404" t="s">
        <v>3</v>
      </c>
      <c r="E64" s="472"/>
      <c r="F64" s="369"/>
      <c r="G64" s="463">
        <v>21671</v>
      </c>
      <c r="H64" s="463">
        <v>10000</v>
      </c>
      <c r="I64" s="560">
        <v>528.6</v>
      </c>
      <c r="J64" s="543" t="s">
        <v>1</v>
      </c>
      <c r="K64" s="543">
        <v>8874</v>
      </c>
      <c r="L64" s="581"/>
      <c r="M64" s="463">
        <v>9377</v>
      </c>
      <c r="N64" s="463">
        <v>0</v>
      </c>
      <c r="O64" s="463">
        <v>8874</v>
      </c>
      <c r="P64" s="543" t="s">
        <v>1</v>
      </c>
      <c r="Q64" s="543" t="s">
        <v>1</v>
      </c>
      <c r="R64" s="118" t="s">
        <v>440</v>
      </c>
      <c r="S64" s="118" t="s">
        <v>522</v>
      </c>
      <c r="T64" s="118"/>
      <c r="U64" s="118"/>
      <c r="V64" s="118"/>
      <c r="W64" s="118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463"/>
      <c r="AL64" s="463"/>
      <c r="AM64" s="463"/>
      <c r="AN64" s="482"/>
      <c r="AO64" s="463"/>
      <c r="AP64" s="463"/>
      <c r="AQ64" s="463"/>
      <c r="AR64" s="463"/>
      <c r="AS64" s="463"/>
      <c r="AT64" s="463"/>
      <c r="AU64" s="463"/>
      <c r="AV64" s="463"/>
      <c r="AW64" s="463"/>
      <c r="AX64" s="463"/>
      <c r="AY64" s="463"/>
      <c r="AZ64" s="463"/>
    </row>
    <row r="65" spans="1:52" s="4" customFormat="1" x14ac:dyDescent="0.2">
      <c r="A65" s="376">
        <v>14500</v>
      </c>
      <c r="B65" s="376" t="s">
        <v>199</v>
      </c>
      <c r="C65" s="376" t="s">
        <v>190</v>
      </c>
      <c r="D65" s="404" t="s">
        <v>4</v>
      </c>
      <c r="E65" s="472"/>
      <c r="F65" s="369"/>
      <c r="G65" s="463">
        <v>124179</v>
      </c>
      <c r="H65" s="463">
        <v>41624</v>
      </c>
      <c r="I65" s="560">
        <v>455</v>
      </c>
      <c r="J65" s="543" t="s">
        <v>1</v>
      </c>
      <c r="K65" s="543">
        <v>42870</v>
      </c>
      <c r="L65" s="581"/>
      <c r="M65" s="463">
        <v>42870</v>
      </c>
      <c r="N65" s="463">
        <v>35392</v>
      </c>
      <c r="O65" s="463">
        <v>0</v>
      </c>
      <c r="P65" s="543" t="s">
        <v>1</v>
      </c>
      <c r="Q65" s="463"/>
      <c r="R65" s="118"/>
      <c r="S65" s="118"/>
      <c r="T65" s="118"/>
      <c r="U65" s="118"/>
      <c r="V65" s="118"/>
      <c r="W65" s="118"/>
      <c r="X65" s="463"/>
      <c r="Y65" s="463"/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3"/>
      <c r="AK65" s="463"/>
      <c r="AL65" s="463"/>
      <c r="AM65" s="463"/>
      <c r="AN65" s="482"/>
      <c r="AO65" s="463"/>
      <c r="AP65" s="463"/>
      <c r="AQ65" s="463"/>
      <c r="AR65" s="463"/>
      <c r="AS65" s="463"/>
      <c r="AT65" s="463"/>
      <c r="AU65" s="463"/>
      <c r="AV65" s="463"/>
      <c r="AW65" s="463"/>
      <c r="AX65" s="463"/>
      <c r="AY65" s="463"/>
      <c r="AZ65" s="463"/>
    </row>
    <row r="66" spans="1:52" s="4" customFormat="1" x14ac:dyDescent="0.2">
      <c r="A66" s="376">
        <v>14550</v>
      </c>
      <c r="B66" s="376" t="s">
        <v>200</v>
      </c>
      <c r="C66" s="376" t="s">
        <v>131</v>
      </c>
      <c r="D66" s="404" t="s">
        <v>5</v>
      </c>
      <c r="E66" s="472"/>
      <c r="F66" s="369"/>
      <c r="G66" s="463">
        <v>9542</v>
      </c>
      <c r="H66" s="463">
        <v>4022</v>
      </c>
      <c r="I66" s="560">
        <v>450</v>
      </c>
      <c r="J66" s="543" t="s">
        <v>1</v>
      </c>
      <c r="K66" s="543">
        <v>2016</v>
      </c>
      <c r="L66" s="581"/>
      <c r="M66" s="463">
        <v>2016</v>
      </c>
      <c r="N66" s="463">
        <v>0</v>
      </c>
      <c r="O66" s="463">
        <v>0</v>
      </c>
      <c r="P66" s="463"/>
      <c r="Q66" s="543" t="s">
        <v>1</v>
      </c>
      <c r="R66" s="118" t="s">
        <v>441</v>
      </c>
      <c r="S66" s="118" t="s">
        <v>523</v>
      </c>
      <c r="T66" s="118"/>
      <c r="U66" s="118"/>
      <c r="V66" s="118"/>
      <c r="W66" s="118"/>
      <c r="X66" s="463"/>
      <c r="Y66" s="463"/>
      <c r="Z66" s="463"/>
      <c r="AA66" s="463"/>
      <c r="AB66" s="463"/>
      <c r="AC66" s="463"/>
      <c r="AD66" s="463"/>
      <c r="AE66" s="463"/>
      <c r="AF66" s="463"/>
      <c r="AG66" s="463"/>
      <c r="AH66" s="463"/>
      <c r="AI66" s="463"/>
      <c r="AJ66" s="463"/>
      <c r="AK66" s="463"/>
      <c r="AL66" s="463"/>
      <c r="AM66" s="463"/>
      <c r="AN66" s="482"/>
      <c r="AO66" s="463"/>
      <c r="AP66" s="463"/>
      <c r="AQ66" s="463"/>
      <c r="AR66" s="463"/>
      <c r="AS66" s="463"/>
      <c r="AT66" s="463"/>
      <c r="AU66" s="463"/>
      <c r="AV66" s="463"/>
      <c r="AW66" s="463"/>
      <c r="AX66" s="463"/>
      <c r="AY66" s="463"/>
      <c r="AZ66" s="463"/>
    </row>
    <row r="67" spans="1:52" s="4" customFormat="1" x14ac:dyDescent="0.2">
      <c r="A67" s="376">
        <v>14600</v>
      </c>
      <c r="B67" s="376" t="s">
        <v>201</v>
      </c>
      <c r="C67" s="376" t="s">
        <v>293</v>
      </c>
      <c r="D67" s="404" t="s">
        <v>2</v>
      </c>
      <c r="E67" s="472"/>
      <c r="F67" s="369"/>
      <c r="G67" s="463">
        <v>6749</v>
      </c>
      <c r="H67" s="463">
        <v>4164</v>
      </c>
      <c r="I67" s="560">
        <v>326</v>
      </c>
      <c r="J67" s="543" t="s">
        <v>1</v>
      </c>
      <c r="K67" s="543">
        <v>2647</v>
      </c>
      <c r="L67" s="581"/>
      <c r="M67" s="463">
        <v>2619</v>
      </c>
      <c r="N67" s="463">
        <v>1272</v>
      </c>
      <c r="O67" s="463">
        <v>0</v>
      </c>
      <c r="P67" s="463"/>
      <c r="Q67" s="543" t="s">
        <v>1</v>
      </c>
      <c r="R67" s="118" t="s">
        <v>442</v>
      </c>
      <c r="S67" s="118" t="s">
        <v>524</v>
      </c>
      <c r="T67" s="118" t="s">
        <v>579</v>
      </c>
      <c r="U67" s="118" t="s">
        <v>626</v>
      </c>
      <c r="V67" s="118" t="s">
        <v>659</v>
      </c>
      <c r="W67" s="118"/>
      <c r="X67" s="463"/>
      <c r="Y67" s="463"/>
      <c r="Z67" s="463"/>
      <c r="AA67" s="463"/>
      <c r="AB67" s="463"/>
      <c r="AC67" s="463"/>
      <c r="AD67" s="463"/>
      <c r="AE67" s="463"/>
      <c r="AF67" s="463"/>
      <c r="AG67" s="463"/>
      <c r="AH67" s="463"/>
      <c r="AI67" s="463"/>
      <c r="AJ67" s="463"/>
      <c r="AK67" s="463"/>
      <c r="AL67" s="463"/>
      <c r="AM67" s="463"/>
      <c r="AN67" s="482"/>
      <c r="AO67" s="463"/>
      <c r="AP67" s="463"/>
      <c r="AQ67" s="463"/>
      <c r="AR67" s="463"/>
      <c r="AS67" s="463"/>
      <c r="AT67" s="463"/>
      <c r="AU67" s="463"/>
      <c r="AV67" s="463"/>
      <c r="AW67" s="463"/>
      <c r="AX67" s="463"/>
      <c r="AY67" s="463"/>
      <c r="AZ67" s="463"/>
    </row>
    <row r="68" spans="1:52" s="4" customFormat="1" x14ac:dyDescent="0.2">
      <c r="A68" s="376">
        <v>14650</v>
      </c>
      <c r="B68" s="376" t="s">
        <v>202</v>
      </c>
      <c r="C68" s="376" t="s">
        <v>163</v>
      </c>
      <c r="D68" s="404" t="s">
        <v>3</v>
      </c>
      <c r="E68" s="472"/>
      <c r="F68" s="369"/>
      <c r="G68" s="463">
        <v>205748</v>
      </c>
      <c r="H68" s="463">
        <v>77737</v>
      </c>
      <c r="I68" s="560">
        <v>419</v>
      </c>
      <c r="J68" s="543" t="s">
        <v>1</v>
      </c>
      <c r="K68" s="543">
        <v>77089</v>
      </c>
      <c r="L68" s="581"/>
      <c r="M68" s="463">
        <v>75962</v>
      </c>
      <c r="N68" s="463">
        <v>75962</v>
      </c>
      <c r="O68" s="463">
        <v>0</v>
      </c>
      <c r="P68" s="543" t="s">
        <v>1</v>
      </c>
      <c r="Q68" s="543" t="s">
        <v>1</v>
      </c>
      <c r="R68" s="118" t="s">
        <v>443</v>
      </c>
      <c r="S68" s="118" t="s">
        <v>525</v>
      </c>
      <c r="T68" s="118" t="s">
        <v>580</v>
      </c>
      <c r="U68" s="118" t="s">
        <v>627</v>
      </c>
      <c r="V68" s="118" t="s">
        <v>660</v>
      </c>
      <c r="W68" s="118" t="s">
        <v>683</v>
      </c>
      <c r="X68" s="463"/>
      <c r="Y68" s="463"/>
      <c r="Z68" s="463"/>
      <c r="AA68" s="463"/>
      <c r="AB68" s="463"/>
      <c r="AC68" s="463"/>
      <c r="AD68" s="463"/>
      <c r="AE68" s="463"/>
      <c r="AF68" s="463"/>
      <c r="AG68" s="463"/>
      <c r="AH68" s="463"/>
      <c r="AI68" s="463"/>
      <c r="AJ68" s="463"/>
      <c r="AK68" s="463"/>
      <c r="AL68" s="463"/>
      <c r="AM68" s="463"/>
      <c r="AN68" s="482"/>
      <c r="AO68" s="463"/>
      <c r="AP68" s="463"/>
      <c r="AQ68" s="463"/>
      <c r="AR68" s="463"/>
      <c r="AS68" s="463"/>
      <c r="AT68" s="463"/>
      <c r="AU68" s="463"/>
      <c r="AV68" s="463"/>
      <c r="AW68" s="463"/>
      <c r="AX68" s="463"/>
      <c r="AY68" s="463"/>
      <c r="AZ68" s="463"/>
    </row>
    <row r="69" spans="1:52" s="4" customFormat="1" x14ac:dyDescent="0.2">
      <c r="A69" s="376">
        <v>14700</v>
      </c>
      <c r="B69" s="376" t="s">
        <v>203</v>
      </c>
      <c r="C69" s="376" t="s">
        <v>190</v>
      </c>
      <c r="D69" s="404" t="s">
        <v>4</v>
      </c>
      <c r="E69" s="472"/>
      <c r="F69" s="369"/>
      <c r="G69" s="463">
        <v>36996</v>
      </c>
      <c r="H69" s="463">
        <v>15942</v>
      </c>
      <c r="I69" s="560">
        <v>425</v>
      </c>
      <c r="J69" s="543" t="s">
        <v>1</v>
      </c>
      <c r="K69" s="543">
        <v>10880</v>
      </c>
      <c r="L69" s="581"/>
      <c r="M69" s="463">
        <v>15942</v>
      </c>
      <c r="N69" s="463">
        <v>13456</v>
      </c>
      <c r="O69" s="463">
        <v>0</v>
      </c>
      <c r="P69" s="543" t="s">
        <v>1</v>
      </c>
      <c r="Q69" s="463"/>
      <c r="R69" s="118"/>
      <c r="S69" s="118"/>
      <c r="T69" s="118"/>
      <c r="U69" s="118"/>
      <c r="V69" s="118"/>
      <c r="W69" s="118"/>
      <c r="X69" s="463"/>
      <c r="Y69" s="463"/>
      <c r="Z69" s="463"/>
      <c r="AA69" s="463"/>
      <c r="AB69" s="463"/>
      <c r="AC69" s="463"/>
      <c r="AD69" s="463"/>
      <c r="AE69" s="463"/>
      <c r="AF69" s="463"/>
      <c r="AG69" s="463"/>
      <c r="AH69" s="463"/>
      <c r="AI69" s="463"/>
      <c r="AJ69" s="463"/>
      <c r="AK69" s="463"/>
      <c r="AL69" s="463"/>
      <c r="AM69" s="463"/>
      <c r="AN69" s="482"/>
      <c r="AO69" s="463"/>
      <c r="AP69" s="463"/>
      <c r="AQ69" s="463"/>
      <c r="AR69" s="463"/>
      <c r="AS69" s="463"/>
      <c r="AT69" s="463"/>
      <c r="AU69" s="463"/>
      <c r="AV69" s="463"/>
      <c r="AW69" s="463"/>
      <c r="AX69" s="463"/>
      <c r="AY69" s="463"/>
      <c r="AZ69" s="463"/>
    </row>
    <row r="70" spans="1:52" s="4" customFormat="1" x14ac:dyDescent="0.2">
      <c r="A70" s="376">
        <v>14750</v>
      </c>
      <c r="B70" s="376" t="s">
        <v>204</v>
      </c>
      <c r="C70" s="376" t="s">
        <v>160</v>
      </c>
      <c r="D70" s="404" t="s">
        <v>2</v>
      </c>
      <c r="E70" s="472"/>
      <c r="F70" s="369"/>
      <c r="G70" s="463">
        <v>11712</v>
      </c>
      <c r="H70" s="463">
        <v>3811</v>
      </c>
      <c r="I70" s="560">
        <v>249</v>
      </c>
      <c r="J70" s="543" t="s">
        <v>1</v>
      </c>
      <c r="K70" s="543">
        <v>4136</v>
      </c>
      <c r="L70" s="581"/>
      <c r="M70" s="463">
        <v>4039</v>
      </c>
      <c r="N70" s="463">
        <v>0</v>
      </c>
      <c r="O70" s="463">
        <v>0</v>
      </c>
      <c r="P70" s="543" t="s">
        <v>1</v>
      </c>
      <c r="Q70" s="543" t="s">
        <v>1</v>
      </c>
      <c r="R70" s="118" t="s">
        <v>444</v>
      </c>
      <c r="S70" s="118"/>
      <c r="T70" s="118"/>
      <c r="U70" s="118"/>
      <c r="V70" s="118"/>
      <c r="W70" s="118"/>
      <c r="X70" s="463"/>
      <c r="Y70" s="463"/>
      <c r="Z70" s="463"/>
      <c r="AA70" s="463"/>
      <c r="AB70" s="463"/>
      <c r="AC70" s="463"/>
      <c r="AD70" s="463"/>
      <c r="AE70" s="463"/>
      <c r="AF70" s="463"/>
      <c r="AG70" s="463"/>
      <c r="AH70" s="463"/>
      <c r="AI70" s="463"/>
      <c r="AJ70" s="463"/>
      <c r="AK70" s="463"/>
      <c r="AL70" s="463"/>
      <c r="AM70" s="463"/>
      <c r="AN70" s="482"/>
      <c r="AO70" s="463"/>
      <c r="AP70" s="463"/>
      <c r="AQ70" s="463"/>
      <c r="AR70" s="463"/>
      <c r="AS70" s="463"/>
      <c r="AT70" s="463"/>
      <c r="AU70" s="463"/>
      <c r="AV70" s="463"/>
      <c r="AW70" s="463"/>
      <c r="AX70" s="463"/>
      <c r="AY70" s="463"/>
      <c r="AZ70" s="463"/>
    </row>
    <row r="71" spans="1:52" s="4" customFormat="1" x14ac:dyDescent="0.2">
      <c r="A71" s="376">
        <v>14850</v>
      </c>
      <c r="B71" s="376" t="s">
        <v>205</v>
      </c>
      <c r="C71" s="376" t="s">
        <v>131</v>
      </c>
      <c r="D71" s="404" t="s">
        <v>5</v>
      </c>
      <c r="E71" s="472"/>
      <c r="F71" s="369"/>
      <c r="G71" s="463">
        <v>44993</v>
      </c>
      <c r="H71" s="463">
        <v>16194</v>
      </c>
      <c r="I71" s="560">
        <v>290</v>
      </c>
      <c r="J71" s="543" t="s">
        <v>1</v>
      </c>
      <c r="K71" s="543">
        <v>14777</v>
      </c>
      <c r="L71" s="581"/>
      <c r="M71" s="463">
        <v>14777</v>
      </c>
      <c r="N71" s="463">
        <v>0</v>
      </c>
      <c r="O71" s="463">
        <v>12683</v>
      </c>
      <c r="P71" s="463"/>
      <c r="Q71" s="543" t="s">
        <v>1</v>
      </c>
      <c r="R71" s="118" t="s">
        <v>445</v>
      </c>
      <c r="S71" s="118" t="s">
        <v>526</v>
      </c>
      <c r="T71" s="118" t="s">
        <v>581</v>
      </c>
      <c r="U71" s="118"/>
      <c r="V71" s="118"/>
      <c r="W71" s="118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  <c r="AI71" s="463"/>
      <c r="AJ71" s="463"/>
      <c r="AK71" s="463"/>
      <c r="AL71" s="463"/>
      <c r="AM71" s="463"/>
      <c r="AN71" s="482"/>
      <c r="AO71" s="463"/>
      <c r="AP71" s="463"/>
      <c r="AQ71" s="463"/>
      <c r="AR71" s="463"/>
      <c r="AS71" s="463"/>
      <c r="AT71" s="463"/>
      <c r="AU71" s="463"/>
      <c r="AV71" s="463"/>
      <c r="AW71" s="463"/>
      <c r="AX71" s="463"/>
      <c r="AY71" s="463"/>
      <c r="AZ71" s="463"/>
    </row>
    <row r="72" spans="1:52" s="4" customFormat="1" x14ac:dyDescent="0.2">
      <c r="A72" s="376">
        <v>14870</v>
      </c>
      <c r="B72" s="376" t="s">
        <v>206</v>
      </c>
      <c r="C72" s="376" t="s">
        <v>293</v>
      </c>
      <c r="D72" s="404" t="s">
        <v>2</v>
      </c>
      <c r="E72" s="472"/>
      <c r="F72" s="369"/>
      <c r="G72" s="463">
        <v>21474</v>
      </c>
      <c r="H72" s="463">
        <v>11338</v>
      </c>
      <c r="I72" s="560">
        <v>383.73</v>
      </c>
      <c r="J72" s="543" t="s">
        <v>1</v>
      </c>
      <c r="K72" s="543">
        <v>9155</v>
      </c>
      <c r="L72" s="581"/>
      <c r="M72" s="463">
        <v>9150</v>
      </c>
      <c r="N72" s="463">
        <v>0</v>
      </c>
      <c r="O72" s="463">
        <v>0</v>
      </c>
      <c r="P72" s="543" t="s">
        <v>1</v>
      </c>
      <c r="Q72" s="543" t="s">
        <v>1</v>
      </c>
      <c r="R72" s="118" t="s">
        <v>446</v>
      </c>
      <c r="S72" s="118" t="s">
        <v>527</v>
      </c>
      <c r="T72" s="118" t="s">
        <v>582</v>
      </c>
      <c r="U72" s="118" t="s">
        <v>628</v>
      </c>
      <c r="V72" s="118" t="s">
        <v>661</v>
      </c>
      <c r="W72" s="118" t="s">
        <v>684</v>
      </c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463"/>
      <c r="AK72" s="463"/>
      <c r="AL72" s="463"/>
      <c r="AM72" s="463"/>
      <c r="AN72" s="482"/>
      <c r="AO72" s="463"/>
      <c r="AP72" s="463"/>
      <c r="AQ72" s="463"/>
      <c r="AR72" s="463"/>
      <c r="AS72" s="463"/>
      <c r="AT72" s="463"/>
      <c r="AU72" s="463"/>
      <c r="AV72" s="463"/>
      <c r="AW72" s="463"/>
      <c r="AX72" s="463"/>
      <c r="AY72" s="463"/>
      <c r="AZ72" s="463"/>
    </row>
    <row r="73" spans="1:52" s="4" customFormat="1" x14ac:dyDescent="0.2">
      <c r="A73" s="376">
        <v>14900</v>
      </c>
      <c r="B73" s="376" t="s">
        <v>207</v>
      </c>
      <c r="C73" s="376" t="s">
        <v>129</v>
      </c>
      <c r="D73" s="404" t="s">
        <v>4</v>
      </c>
      <c r="E73" s="472"/>
      <c r="F73" s="369"/>
      <c r="G73" s="463">
        <v>210113</v>
      </c>
      <c r="H73" s="463">
        <v>63921</v>
      </c>
      <c r="I73" s="560">
        <v>411</v>
      </c>
      <c r="J73" s="543" t="s">
        <v>1</v>
      </c>
      <c r="K73" s="543">
        <v>63985</v>
      </c>
      <c r="L73" s="581" t="s">
        <v>1</v>
      </c>
      <c r="M73" s="463">
        <v>63043</v>
      </c>
      <c r="N73" s="463">
        <v>52675</v>
      </c>
      <c r="O73" s="463">
        <v>0</v>
      </c>
      <c r="P73" s="543" t="s">
        <v>1</v>
      </c>
      <c r="Q73" s="543" t="s">
        <v>1</v>
      </c>
      <c r="R73" s="118" t="s">
        <v>447</v>
      </c>
      <c r="S73" s="118"/>
      <c r="T73" s="118"/>
      <c r="U73" s="118"/>
      <c r="V73" s="118"/>
      <c r="W73" s="118"/>
      <c r="X73" s="463"/>
      <c r="Y73" s="463"/>
      <c r="Z73" s="463"/>
      <c r="AA73" s="463"/>
      <c r="AB73" s="463"/>
      <c r="AC73" s="463"/>
      <c r="AD73" s="463"/>
      <c r="AE73" s="463"/>
      <c r="AF73" s="463"/>
      <c r="AG73" s="463"/>
      <c r="AH73" s="463"/>
      <c r="AI73" s="463"/>
      <c r="AJ73" s="463"/>
      <c r="AK73" s="463"/>
      <c r="AL73" s="463"/>
      <c r="AM73" s="463"/>
      <c r="AN73" s="482"/>
      <c r="AO73" s="463"/>
      <c r="AP73" s="463"/>
      <c r="AQ73" s="463"/>
      <c r="AR73" s="463"/>
      <c r="AS73" s="463"/>
      <c r="AT73" s="463"/>
      <c r="AU73" s="463"/>
      <c r="AV73" s="463"/>
      <c r="AW73" s="463"/>
      <c r="AX73" s="463"/>
      <c r="AY73" s="463"/>
      <c r="AZ73" s="463"/>
    </row>
    <row r="74" spans="1:52" s="4" customFormat="1" x14ac:dyDescent="0.2">
      <c r="A74" s="376">
        <v>14920</v>
      </c>
      <c r="B74" s="376" t="s">
        <v>208</v>
      </c>
      <c r="C74" s="376" t="s">
        <v>125</v>
      </c>
      <c r="D74" s="404" t="s">
        <v>2</v>
      </c>
      <c r="E74" s="472"/>
      <c r="F74" s="369"/>
      <c r="G74" s="463">
        <v>7738</v>
      </c>
      <c r="H74" s="463">
        <v>2900</v>
      </c>
      <c r="I74" s="560">
        <v>355</v>
      </c>
      <c r="J74" s="543" t="s">
        <v>1</v>
      </c>
      <c r="K74" s="543">
        <v>2820</v>
      </c>
      <c r="L74" s="581"/>
      <c r="M74" s="463">
        <v>2776</v>
      </c>
      <c r="N74" s="463">
        <v>0</v>
      </c>
      <c r="O74" s="463">
        <v>0</v>
      </c>
      <c r="P74" s="543" t="s">
        <v>1</v>
      </c>
      <c r="Q74" s="463"/>
      <c r="R74" s="118"/>
      <c r="S74" s="118"/>
      <c r="T74" s="118"/>
      <c r="U74" s="118"/>
      <c r="V74" s="118"/>
      <c r="W74" s="118"/>
      <c r="X74" s="463"/>
      <c r="Y74" s="463"/>
      <c r="Z74" s="463"/>
      <c r="AA74" s="463"/>
      <c r="AB74" s="463"/>
      <c r="AC74" s="463"/>
      <c r="AD74" s="463"/>
      <c r="AE74" s="463"/>
      <c r="AF74" s="463"/>
      <c r="AG74" s="463"/>
      <c r="AH74" s="463"/>
      <c r="AI74" s="463"/>
      <c r="AJ74" s="463"/>
      <c r="AK74" s="463"/>
      <c r="AL74" s="463"/>
      <c r="AM74" s="463"/>
      <c r="AN74" s="482"/>
      <c r="AO74" s="463"/>
      <c r="AP74" s="463"/>
      <c r="AQ74" s="463"/>
      <c r="AR74" s="463"/>
      <c r="AS74" s="463"/>
      <c r="AT74" s="463"/>
      <c r="AU74" s="463"/>
      <c r="AV74" s="463"/>
      <c r="AW74" s="463"/>
      <c r="AX74" s="463"/>
      <c r="AY74" s="463"/>
      <c r="AZ74" s="463"/>
    </row>
    <row r="75" spans="1:52" s="4" customFormat="1" x14ac:dyDescent="0.2">
      <c r="A75" s="376">
        <v>14950</v>
      </c>
      <c r="B75" s="376" t="s">
        <v>209</v>
      </c>
      <c r="C75" s="376" t="s">
        <v>142</v>
      </c>
      <c r="D75" s="404" t="s">
        <v>2</v>
      </c>
      <c r="E75" s="472"/>
      <c r="F75" s="369"/>
      <c r="G75" s="463">
        <v>3103</v>
      </c>
      <c r="H75" s="463">
        <v>2237</v>
      </c>
      <c r="I75" s="560">
        <v>365</v>
      </c>
      <c r="J75" s="543" t="s">
        <v>1</v>
      </c>
      <c r="K75" s="543">
        <v>984</v>
      </c>
      <c r="L75" s="581"/>
      <c r="M75" s="463">
        <v>971</v>
      </c>
      <c r="N75" s="463">
        <v>0</v>
      </c>
      <c r="O75" s="463">
        <v>0</v>
      </c>
      <c r="P75" s="543" t="s">
        <v>1</v>
      </c>
      <c r="Q75" s="543" t="s">
        <v>1</v>
      </c>
      <c r="R75" s="118" t="s">
        <v>448</v>
      </c>
      <c r="S75" s="118" t="s">
        <v>528</v>
      </c>
      <c r="T75" s="118" t="s">
        <v>583</v>
      </c>
      <c r="U75" s="118" t="s">
        <v>629</v>
      </c>
      <c r="V75" s="118"/>
      <c r="W75" s="118"/>
      <c r="X75" s="463"/>
      <c r="Y75" s="463"/>
      <c r="Z75" s="463"/>
      <c r="AA75" s="463"/>
      <c r="AB75" s="463"/>
      <c r="AC75" s="463"/>
      <c r="AD75" s="463"/>
      <c r="AE75" s="463"/>
      <c r="AF75" s="463"/>
      <c r="AG75" s="463"/>
      <c r="AH75" s="463"/>
      <c r="AI75" s="463"/>
      <c r="AJ75" s="463"/>
      <c r="AK75" s="463"/>
      <c r="AL75" s="463"/>
      <c r="AM75" s="463"/>
      <c r="AN75" s="482"/>
      <c r="AO75" s="463"/>
      <c r="AP75" s="463"/>
      <c r="AQ75" s="463"/>
      <c r="AR75" s="463"/>
      <c r="AS75" s="463"/>
      <c r="AT75" s="463"/>
      <c r="AU75" s="463"/>
      <c r="AV75" s="463"/>
      <c r="AW75" s="463"/>
      <c r="AX75" s="463"/>
      <c r="AY75" s="463"/>
      <c r="AZ75" s="463"/>
    </row>
    <row r="76" spans="1:52" s="4" customFormat="1" x14ac:dyDescent="0.2">
      <c r="A76" s="376">
        <v>15050</v>
      </c>
      <c r="B76" s="376" t="s">
        <v>210</v>
      </c>
      <c r="C76" s="376" t="s">
        <v>163</v>
      </c>
      <c r="D76" s="404" t="s">
        <v>3</v>
      </c>
      <c r="E76" s="472"/>
      <c r="F76" s="369"/>
      <c r="G76" s="463">
        <v>78096</v>
      </c>
      <c r="H76" s="463">
        <v>29070</v>
      </c>
      <c r="I76" s="560">
        <v>461.75</v>
      </c>
      <c r="J76" s="543" t="s">
        <v>1</v>
      </c>
      <c r="K76" s="543">
        <v>29070</v>
      </c>
      <c r="L76" s="581"/>
      <c r="M76" s="463">
        <v>30658</v>
      </c>
      <c r="N76" s="463">
        <v>30333</v>
      </c>
      <c r="O76" s="463">
        <v>0</v>
      </c>
      <c r="P76" s="463"/>
      <c r="Q76" s="543" t="s">
        <v>1</v>
      </c>
      <c r="R76" s="118" t="s">
        <v>449</v>
      </c>
      <c r="S76" s="118"/>
      <c r="T76" s="118"/>
      <c r="U76" s="118"/>
      <c r="V76" s="118"/>
      <c r="W76" s="118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3"/>
      <c r="AK76" s="463"/>
      <c r="AL76" s="463"/>
      <c r="AM76" s="463"/>
      <c r="AN76" s="482"/>
      <c r="AO76" s="463"/>
      <c r="AP76" s="463"/>
      <c r="AQ76" s="463"/>
      <c r="AR76" s="463"/>
      <c r="AS76" s="463"/>
      <c r="AT76" s="463"/>
      <c r="AU76" s="463"/>
      <c r="AV76" s="463"/>
      <c r="AW76" s="463"/>
      <c r="AX76" s="463"/>
      <c r="AY76" s="463"/>
      <c r="AZ76" s="463"/>
    </row>
    <row r="77" spans="1:52" s="4" customFormat="1" x14ac:dyDescent="0.2">
      <c r="A77" s="376">
        <v>15240</v>
      </c>
      <c r="B77" s="376" t="s">
        <v>180</v>
      </c>
      <c r="C77" s="376" t="s">
        <v>294</v>
      </c>
      <c r="D77" s="404" t="s">
        <v>5</v>
      </c>
      <c r="E77" s="472"/>
      <c r="F77" s="369"/>
      <c r="G77" s="463">
        <v>91648</v>
      </c>
      <c r="H77" s="463">
        <v>66726</v>
      </c>
      <c r="I77" s="560">
        <v>436.33</v>
      </c>
      <c r="J77" s="543" t="s">
        <v>1</v>
      </c>
      <c r="K77" s="543">
        <v>42879</v>
      </c>
      <c r="L77" s="581"/>
      <c r="M77" s="463">
        <v>43218</v>
      </c>
      <c r="N77" s="463">
        <v>36156</v>
      </c>
      <c r="O77" s="463">
        <v>0</v>
      </c>
      <c r="P77" s="543" t="s">
        <v>1</v>
      </c>
      <c r="Q77" s="543" t="s">
        <v>1</v>
      </c>
      <c r="R77" s="118" t="s">
        <v>450</v>
      </c>
      <c r="S77" s="118" t="s">
        <v>529</v>
      </c>
      <c r="T77" s="118" t="s">
        <v>584</v>
      </c>
      <c r="U77" s="118" t="s">
        <v>630</v>
      </c>
      <c r="V77" s="118" t="s">
        <v>662</v>
      </c>
      <c r="W77" s="118" t="s">
        <v>685</v>
      </c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82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463"/>
      <c r="AZ77" s="463"/>
    </row>
    <row r="78" spans="1:52" s="4" customFormat="1" x14ac:dyDescent="0.2">
      <c r="A78" s="376">
        <v>15270</v>
      </c>
      <c r="B78" s="376" t="s">
        <v>212</v>
      </c>
      <c r="C78" s="376" t="s">
        <v>293</v>
      </c>
      <c r="D78" s="404" t="s">
        <v>2</v>
      </c>
      <c r="E78" s="472"/>
      <c r="F78" s="369"/>
      <c r="G78" s="463">
        <v>24313</v>
      </c>
      <c r="H78" s="463">
        <v>13192</v>
      </c>
      <c r="I78" s="560">
        <v>171</v>
      </c>
      <c r="J78" s="543" t="s">
        <v>1</v>
      </c>
      <c r="K78" s="543">
        <v>7666</v>
      </c>
      <c r="L78" s="581"/>
      <c r="M78" s="463">
        <v>7666</v>
      </c>
      <c r="N78" s="463">
        <v>0</v>
      </c>
      <c r="O78" s="463">
        <v>0</v>
      </c>
      <c r="P78" s="463"/>
      <c r="Q78" s="543" t="s">
        <v>1</v>
      </c>
      <c r="R78" s="118" t="s">
        <v>451</v>
      </c>
      <c r="S78" s="118" t="s">
        <v>530</v>
      </c>
      <c r="T78" s="118" t="s">
        <v>585</v>
      </c>
      <c r="U78" s="118"/>
      <c r="V78" s="118"/>
      <c r="W78" s="118"/>
      <c r="X78" s="463"/>
      <c r="Y78" s="463"/>
      <c r="Z78" s="463"/>
      <c r="AA78" s="463"/>
      <c r="AB78" s="463"/>
      <c r="AC78" s="463"/>
      <c r="AD78" s="463"/>
      <c r="AE78" s="463"/>
      <c r="AF78" s="463"/>
      <c r="AG78" s="463"/>
      <c r="AH78" s="463"/>
      <c r="AI78" s="463"/>
      <c r="AJ78" s="463"/>
      <c r="AK78" s="463"/>
      <c r="AL78" s="463"/>
      <c r="AM78" s="463"/>
      <c r="AN78" s="482"/>
      <c r="AO78" s="463"/>
      <c r="AP78" s="463"/>
      <c r="AQ78" s="463"/>
      <c r="AR78" s="463"/>
      <c r="AS78" s="463"/>
      <c r="AT78" s="463"/>
      <c r="AU78" s="463"/>
      <c r="AV78" s="463"/>
      <c r="AW78" s="463"/>
      <c r="AX78" s="463"/>
      <c r="AY78" s="463"/>
      <c r="AZ78" s="463"/>
    </row>
    <row r="79" spans="1:52" s="4" customFormat="1" x14ac:dyDescent="0.2">
      <c r="A79" s="376">
        <v>15300</v>
      </c>
      <c r="B79" s="376" t="s">
        <v>213</v>
      </c>
      <c r="C79" s="376" t="s">
        <v>125</v>
      </c>
      <c r="D79" s="404" t="s">
        <v>2</v>
      </c>
      <c r="E79" s="472"/>
      <c r="F79" s="369"/>
      <c r="G79" s="463">
        <v>13866</v>
      </c>
      <c r="H79" s="463">
        <v>6529</v>
      </c>
      <c r="I79" s="560">
        <v>438.35</v>
      </c>
      <c r="J79" s="543" t="s">
        <v>1</v>
      </c>
      <c r="K79" s="543">
        <v>5881</v>
      </c>
      <c r="L79" s="581"/>
      <c r="M79" s="463">
        <v>4664</v>
      </c>
      <c r="N79" s="463">
        <v>0</v>
      </c>
      <c r="O79" s="463">
        <v>4669</v>
      </c>
      <c r="P79" s="543" t="s">
        <v>1</v>
      </c>
      <c r="Q79" s="543" t="s">
        <v>1</v>
      </c>
      <c r="R79" s="118" t="s">
        <v>452</v>
      </c>
      <c r="S79" s="118" t="s">
        <v>531</v>
      </c>
      <c r="T79" s="118" t="s">
        <v>586</v>
      </c>
      <c r="U79" s="118" t="s">
        <v>631</v>
      </c>
      <c r="V79" s="118" t="s">
        <v>663</v>
      </c>
      <c r="W79" s="118" t="s">
        <v>686</v>
      </c>
      <c r="X79" s="463"/>
      <c r="Y79" s="463"/>
      <c r="Z79" s="463"/>
      <c r="AA79" s="463"/>
      <c r="AB79" s="463"/>
      <c r="AC79" s="463"/>
      <c r="AD79" s="463"/>
      <c r="AE79" s="463"/>
      <c r="AF79" s="463"/>
      <c r="AG79" s="463"/>
      <c r="AH79" s="463"/>
      <c r="AI79" s="463"/>
      <c r="AJ79" s="463"/>
      <c r="AK79" s="463"/>
      <c r="AL79" s="463"/>
      <c r="AM79" s="463"/>
      <c r="AN79" s="482"/>
      <c r="AO79" s="463"/>
      <c r="AP79" s="463"/>
      <c r="AQ79" s="463"/>
      <c r="AR79" s="463"/>
      <c r="AS79" s="463"/>
      <c r="AT79" s="463"/>
      <c r="AU79" s="463"/>
      <c r="AV79" s="463"/>
      <c r="AW79" s="463"/>
      <c r="AX79" s="463"/>
      <c r="AY79" s="463"/>
      <c r="AZ79" s="463"/>
    </row>
    <row r="80" spans="1:52" s="4" customFormat="1" x14ac:dyDescent="0.2">
      <c r="A80" s="376">
        <v>15350</v>
      </c>
      <c r="B80" s="376" t="s">
        <v>214</v>
      </c>
      <c r="C80" s="376" t="s">
        <v>190</v>
      </c>
      <c r="D80" s="404" t="s">
        <v>4</v>
      </c>
      <c r="E80" s="472"/>
      <c r="F80" s="369"/>
      <c r="G80" s="463">
        <v>30646</v>
      </c>
      <c r="H80" s="463">
        <v>13288</v>
      </c>
      <c r="I80" s="560">
        <v>348</v>
      </c>
      <c r="J80" s="543" t="s">
        <v>1</v>
      </c>
      <c r="K80" s="543">
        <v>12695</v>
      </c>
      <c r="L80" s="581"/>
      <c r="M80" s="463">
        <v>12695</v>
      </c>
      <c r="N80" s="463">
        <v>12695</v>
      </c>
      <c r="O80" s="463">
        <v>0</v>
      </c>
      <c r="P80" s="543" t="s">
        <v>1</v>
      </c>
      <c r="Q80" s="463"/>
      <c r="R80" s="118"/>
      <c r="S80" s="118"/>
      <c r="T80" s="118"/>
      <c r="U80" s="118"/>
      <c r="V80" s="118"/>
      <c r="W80" s="118"/>
      <c r="X80" s="463"/>
      <c r="Y80" s="463"/>
      <c r="Z80" s="463"/>
      <c r="AA80" s="463"/>
      <c r="AB80" s="463"/>
      <c r="AC80" s="463"/>
      <c r="AD80" s="463"/>
      <c r="AE80" s="463"/>
      <c r="AF80" s="463"/>
      <c r="AG80" s="463"/>
      <c r="AH80" s="463"/>
      <c r="AI80" s="463"/>
      <c r="AJ80" s="463"/>
      <c r="AK80" s="463"/>
      <c r="AL80" s="463"/>
      <c r="AM80" s="463"/>
      <c r="AN80" s="482"/>
      <c r="AO80" s="463"/>
      <c r="AP80" s="463"/>
      <c r="AQ80" s="463"/>
      <c r="AR80" s="463"/>
      <c r="AS80" s="463"/>
      <c r="AT80" s="463"/>
      <c r="AU80" s="463"/>
      <c r="AV80" s="463"/>
      <c r="AW80" s="463"/>
      <c r="AX80" s="463"/>
      <c r="AY80" s="463"/>
      <c r="AZ80" s="463"/>
    </row>
    <row r="81" spans="1:52" s="4" customFormat="1" x14ac:dyDescent="0.2">
      <c r="A81" s="376">
        <v>15520</v>
      </c>
      <c r="B81" s="376" t="s">
        <v>215</v>
      </c>
      <c r="C81" s="376" t="s">
        <v>123</v>
      </c>
      <c r="D81" s="404" t="s">
        <v>2</v>
      </c>
      <c r="E81" s="472"/>
      <c r="F81" s="369"/>
      <c r="G81" s="463">
        <v>11596</v>
      </c>
      <c r="H81" s="463">
        <v>5283</v>
      </c>
      <c r="I81" s="560">
        <v>198.99</v>
      </c>
      <c r="J81" s="543" t="s">
        <v>1</v>
      </c>
      <c r="K81" s="543">
        <v>4763</v>
      </c>
      <c r="L81" s="581"/>
      <c r="M81" s="463">
        <v>4680</v>
      </c>
      <c r="N81" s="463">
        <v>0</v>
      </c>
      <c r="O81" s="463">
        <v>0</v>
      </c>
      <c r="P81" s="463"/>
      <c r="Q81" s="543" t="s">
        <v>1</v>
      </c>
      <c r="R81" s="118" t="s">
        <v>453</v>
      </c>
      <c r="S81" s="118" t="s">
        <v>532</v>
      </c>
      <c r="T81" s="118" t="s">
        <v>587</v>
      </c>
      <c r="U81" s="118" t="s">
        <v>632</v>
      </c>
      <c r="V81" s="118" t="s">
        <v>664</v>
      </c>
      <c r="W81" s="118" t="s">
        <v>687</v>
      </c>
      <c r="X81" s="463"/>
      <c r="Y81" s="463"/>
      <c r="Z81" s="463"/>
      <c r="AA81" s="463"/>
      <c r="AB81" s="463"/>
      <c r="AC81" s="463"/>
      <c r="AD81" s="463"/>
      <c r="AE81" s="463"/>
      <c r="AF81" s="463"/>
      <c r="AG81" s="463"/>
      <c r="AH81" s="463"/>
      <c r="AI81" s="463"/>
      <c r="AJ81" s="463"/>
      <c r="AK81" s="463"/>
      <c r="AL81" s="463"/>
      <c r="AM81" s="463"/>
      <c r="AN81" s="482"/>
      <c r="AO81" s="463"/>
      <c r="AP81" s="463"/>
      <c r="AQ81" s="463"/>
      <c r="AR81" s="463"/>
      <c r="AS81" s="463"/>
      <c r="AT81" s="463"/>
      <c r="AU81" s="463"/>
      <c r="AV81" s="463"/>
      <c r="AW81" s="463"/>
      <c r="AX81" s="463"/>
      <c r="AY81" s="463"/>
      <c r="AZ81" s="463"/>
    </row>
    <row r="82" spans="1:52" s="4" customFormat="1" x14ac:dyDescent="0.2">
      <c r="A82" s="376">
        <v>15560</v>
      </c>
      <c r="B82" s="376" t="s">
        <v>195</v>
      </c>
      <c r="C82" s="376" t="s">
        <v>160</v>
      </c>
      <c r="D82" s="404" t="s">
        <v>2</v>
      </c>
      <c r="E82" s="472"/>
      <c r="F82" s="369"/>
      <c r="G82" s="463">
        <v>4071</v>
      </c>
      <c r="H82" s="463">
        <v>1128</v>
      </c>
      <c r="I82" s="560">
        <v>155</v>
      </c>
      <c r="J82" s="543" t="s">
        <v>1</v>
      </c>
      <c r="K82" s="543">
        <v>1460</v>
      </c>
      <c r="L82" s="581"/>
      <c r="M82" s="463">
        <v>800</v>
      </c>
      <c r="N82" s="463">
        <v>0</v>
      </c>
      <c r="O82" s="463">
        <v>0</v>
      </c>
      <c r="P82" s="463"/>
      <c r="Q82" s="463"/>
      <c r="R82" s="118"/>
      <c r="S82" s="118"/>
      <c r="T82" s="118"/>
      <c r="U82" s="118"/>
      <c r="V82" s="118"/>
      <c r="W82" s="118"/>
      <c r="X82" s="463"/>
      <c r="Y82" s="463"/>
      <c r="Z82" s="463"/>
      <c r="AA82" s="463"/>
      <c r="AB82" s="463"/>
      <c r="AC82" s="463"/>
      <c r="AD82" s="463"/>
      <c r="AE82" s="463"/>
      <c r="AF82" s="463"/>
      <c r="AG82" s="463"/>
      <c r="AH82" s="463"/>
      <c r="AI82" s="463"/>
      <c r="AJ82" s="463"/>
      <c r="AK82" s="463"/>
      <c r="AL82" s="463"/>
      <c r="AM82" s="463"/>
      <c r="AN82" s="482"/>
      <c r="AO82" s="463"/>
      <c r="AP82" s="463"/>
      <c r="AQ82" s="463"/>
      <c r="AR82" s="463"/>
      <c r="AS82" s="463"/>
      <c r="AT82" s="463"/>
      <c r="AU82" s="463"/>
      <c r="AV82" s="463"/>
      <c r="AW82" s="463"/>
      <c r="AX82" s="463"/>
      <c r="AY82" s="463"/>
      <c r="AZ82" s="463"/>
    </row>
    <row r="83" spans="1:52" s="4" customFormat="1" x14ac:dyDescent="0.2">
      <c r="A83" s="376">
        <v>15650</v>
      </c>
      <c r="B83" s="376" t="s">
        <v>216</v>
      </c>
      <c r="C83" s="376" t="s">
        <v>163</v>
      </c>
      <c r="D83" s="404" t="s">
        <v>5</v>
      </c>
      <c r="E83" s="472"/>
      <c r="F83" s="369"/>
      <c r="G83" s="463">
        <v>17414</v>
      </c>
      <c r="H83" s="463">
        <v>7314</v>
      </c>
      <c r="I83" s="560">
        <v>361</v>
      </c>
      <c r="J83" s="543" t="s">
        <v>1</v>
      </c>
      <c r="K83" s="543">
        <v>6699</v>
      </c>
      <c r="L83" s="581"/>
      <c r="M83" s="463">
        <v>6578</v>
      </c>
      <c r="N83" s="463">
        <v>6021</v>
      </c>
      <c r="O83" s="463">
        <v>0</v>
      </c>
      <c r="P83" s="543" t="s">
        <v>1</v>
      </c>
      <c r="Q83" s="543" t="s">
        <v>1</v>
      </c>
      <c r="R83" s="118" t="s">
        <v>454</v>
      </c>
      <c r="S83" s="118" t="s">
        <v>533</v>
      </c>
      <c r="T83" s="118"/>
      <c r="U83" s="118"/>
      <c r="V83" s="118"/>
      <c r="W83" s="118"/>
      <c r="X83" s="463"/>
      <c r="Y83" s="463"/>
      <c r="Z83" s="463"/>
      <c r="AA83" s="463"/>
      <c r="AB83" s="463"/>
      <c r="AC83" s="463"/>
      <c r="AD83" s="463"/>
      <c r="AE83" s="463"/>
      <c r="AF83" s="463"/>
      <c r="AG83" s="463"/>
      <c r="AH83" s="463"/>
      <c r="AI83" s="463"/>
      <c r="AJ83" s="463"/>
      <c r="AK83" s="463"/>
      <c r="AL83" s="463"/>
      <c r="AM83" s="463"/>
      <c r="AN83" s="482"/>
      <c r="AO83" s="463"/>
      <c r="AP83" s="463"/>
      <c r="AQ83" s="463"/>
      <c r="AR83" s="463"/>
      <c r="AS83" s="463"/>
      <c r="AT83" s="463"/>
      <c r="AU83" s="463"/>
      <c r="AV83" s="463"/>
      <c r="AW83" s="463"/>
      <c r="AX83" s="463"/>
      <c r="AY83" s="463"/>
      <c r="AZ83" s="463"/>
    </row>
    <row r="84" spans="1:52" s="4" customFormat="1" x14ac:dyDescent="0.2">
      <c r="A84" s="376">
        <v>15700</v>
      </c>
      <c r="B84" s="376" t="s">
        <v>217</v>
      </c>
      <c r="C84" s="376" t="s">
        <v>294</v>
      </c>
      <c r="D84" s="404" t="s">
        <v>5</v>
      </c>
      <c r="E84" s="472"/>
      <c r="F84" s="369"/>
      <c r="G84" s="463">
        <v>19808</v>
      </c>
      <c r="H84" s="463">
        <v>8154</v>
      </c>
      <c r="I84" s="560">
        <v>527</v>
      </c>
      <c r="J84" s="543" t="s">
        <v>1</v>
      </c>
      <c r="K84" s="543">
        <v>7625</v>
      </c>
      <c r="L84" s="581" t="s">
        <v>1</v>
      </c>
      <c r="M84" s="463">
        <v>7625</v>
      </c>
      <c r="N84" s="463">
        <v>0</v>
      </c>
      <c r="O84" s="463">
        <v>7625</v>
      </c>
      <c r="P84" s="543" t="s">
        <v>1</v>
      </c>
      <c r="Q84" s="543" t="s">
        <v>1</v>
      </c>
      <c r="R84" s="118" t="s">
        <v>455</v>
      </c>
      <c r="S84" s="118"/>
      <c r="T84" s="118"/>
      <c r="U84" s="118"/>
      <c r="V84" s="118"/>
      <c r="W84" s="118"/>
      <c r="X84" s="463"/>
      <c r="Y84" s="463"/>
      <c r="Z84" s="463"/>
      <c r="AA84" s="463"/>
      <c r="AB84" s="463"/>
      <c r="AC84" s="463"/>
      <c r="AD84" s="463"/>
      <c r="AE84" s="463"/>
      <c r="AF84" s="463"/>
      <c r="AG84" s="463"/>
      <c r="AH84" s="463"/>
      <c r="AI84" s="463"/>
      <c r="AJ84" s="463"/>
      <c r="AK84" s="463"/>
      <c r="AL84" s="463"/>
      <c r="AM84" s="463"/>
      <c r="AN84" s="482"/>
      <c r="AO84" s="463"/>
      <c r="AP84" s="463"/>
      <c r="AQ84" s="463"/>
      <c r="AR84" s="463"/>
      <c r="AS84" s="463"/>
      <c r="AT84" s="463"/>
      <c r="AU84" s="463"/>
      <c r="AV84" s="463"/>
      <c r="AW84" s="463"/>
      <c r="AX84" s="463"/>
      <c r="AY84" s="463"/>
      <c r="AZ84" s="463"/>
    </row>
    <row r="85" spans="1:52" s="4" customFormat="1" x14ac:dyDescent="0.2">
      <c r="A85" s="376">
        <v>15750</v>
      </c>
      <c r="B85" s="376" t="s">
        <v>218</v>
      </c>
      <c r="C85" s="376" t="s">
        <v>125</v>
      </c>
      <c r="D85" s="404" t="s">
        <v>2</v>
      </c>
      <c r="E85" s="472"/>
      <c r="F85" s="369"/>
      <c r="G85" s="463">
        <v>13717</v>
      </c>
      <c r="H85" s="463">
        <v>5055</v>
      </c>
      <c r="I85" s="560">
        <v>310</v>
      </c>
      <c r="J85" s="543" t="s">
        <v>1</v>
      </c>
      <c r="K85" s="543">
        <v>4277</v>
      </c>
      <c r="L85" s="581"/>
      <c r="M85" s="463">
        <v>4245</v>
      </c>
      <c r="N85" s="463">
        <v>0</v>
      </c>
      <c r="O85" s="463">
        <v>4262</v>
      </c>
      <c r="P85" s="543" t="s">
        <v>1</v>
      </c>
      <c r="Q85" s="543" t="s">
        <v>1</v>
      </c>
      <c r="R85" s="118" t="s">
        <v>456</v>
      </c>
      <c r="S85" s="118"/>
      <c r="T85" s="118"/>
      <c r="U85" s="118"/>
      <c r="V85" s="118"/>
      <c r="W85" s="118"/>
      <c r="X85" s="463"/>
      <c r="Y85" s="463"/>
      <c r="Z85" s="463"/>
      <c r="AA85" s="463"/>
      <c r="AB85" s="463"/>
      <c r="AC85" s="463"/>
      <c r="AD85" s="463"/>
      <c r="AE85" s="463"/>
      <c r="AF85" s="463"/>
      <c r="AG85" s="463"/>
      <c r="AH85" s="463"/>
      <c r="AI85" s="463"/>
      <c r="AJ85" s="463"/>
      <c r="AK85" s="463"/>
      <c r="AL85" s="463"/>
      <c r="AM85" s="463"/>
      <c r="AN85" s="482"/>
      <c r="AO85" s="463"/>
      <c r="AP85" s="463"/>
      <c r="AQ85" s="463"/>
      <c r="AR85" s="463"/>
      <c r="AS85" s="463"/>
      <c r="AT85" s="463"/>
      <c r="AU85" s="463"/>
      <c r="AV85" s="463"/>
      <c r="AW85" s="463"/>
      <c r="AX85" s="463"/>
      <c r="AY85" s="463"/>
      <c r="AZ85" s="463"/>
    </row>
    <row r="86" spans="1:52" s="4" customFormat="1" x14ac:dyDescent="0.2">
      <c r="A86" s="376">
        <v>15800</v>
      </c>
      <c r="B86" s="376" t="s">
        <v>219</v>
      </c>
      <c r="C86" s="376" t="s">
        <v>160</v>
      </c>
      <c r="D86" s="404" t="s">
        <v>2</v>
      </c>
      <c r="E86" s="472"/>
      <c r="F86" s="369"/>
      <c r="G86" s="463">
        <v>5912</v>
      </c>
      <c r="H86" s="463">
        <v>2546</v>
      </c>
      <c r="I86" s="560">
        <v>48.5</v>
      </c>
      <c r="J86" s="543" t="s">
        <v>1</v>
      </c>
      <c r="K86" s="543">
        <v>3047</v>
      </c>
      <c r="L86" s="581"/>
      <c r="M86" s="463">
        <v>1012</v>
      </c>
      <c r="N86" s="463">
        <v>0</v>
      </c>
      <c r="O86" s="463">
        <v>0</v>
      </c>
      <c r="P86" s="463"/>
      <c r="Q86" s="463"/>
      <c r="R86" s="118"/>
      <c r="S86" s="118"/>
      <c r="T86" s="118"/>
      <c r="U86" s="118"/>
      <c r="V86" s="118"/>
      <c r="W86" s="118"/>
      <c r="X86" s="463"/>
      <c r="Y86" s="463"/>
      <c r="Z86" s="463"/>
      <c r="AA86" s="463"/>
      <c r="AB86" s="463"/>
      <c r="AC86" s="463"/>
      <c r="AD86" s="463"/>
      <c r="AE86" s="463"/>
      <c r="AF86" s="463"/>
      <c r="AG86" s="463"/>
      <c r="AH86" s="463"/>
      <c r="AI86" s="463"/>
      <c r="AJ86" s="463"/>
      <c r="AK86" s="463"/>
      <c r="AL86" s="463"/>
      <c r="AM86" s="463"/>
      <c r="AN86" s="482"/>
      <c r="AO86" s="463"/>
      <c r="AP86" s="463"/>
      <c r="AQ86" s="463"/>
      <c r="AR86" s="463"/>
      <c r="AS86" s="463"/>
      <c r="AT86" s="463"/>
      <c r="AU86" s="463"/>
      <c r="AV86" s="463"/>
      <c r="AW86" s="463"/>
      <c r="AX86" s="463"/>
      <c r="AY86" s="463"/>
      <c r="AZ86" s="463"/>
    </row>
    <row r="87" spans="1:52" s="4" customFormat="1" x14ac:dyDescent="0.2">
      <c r="A87" s="376">
        <v>15850</v>
      </c>
      <c r="B87" s="376" t="s">
        <v>220</v>
      </c>
      <c r="C87" s="376" t="s">
        <v>293</v>
      </c>
      <c r="D87" s="404" t="s">
        <v>2</v>
      </c>
      <c r="E87" s="472"/>
      <c r="F87" s="369"/>
      <c r="G87" s="463">
        <v>6796</v>
      </c>
      <c r="H87" s="463">
        <v>2172</v>
      </c>
      <c r="I87" s="560">
        <v>371</v>
      </c>
      <c r="J87" s="543" t="s">
        <v>1</v>
      </c>
      <c r="K87" s="543">
        <v>2172</v>
      </c>
      <c r="L87" s="581"/>
      <c r="M87" s="463">
        <v>2049</v>
      </c>
      <c r="N87" s="463">
        <v>0</v>
      </c>
      <c r="O87" s="463">
        <v>0</v>
      </c>
      <c r="P87" s="463"/>
      <c r="Q87" s="543" t="s">
        <v>1</v>
      </c>
      <c r="R87" s="118" t="s">
        <v>457</v>
      </c>
      <c r="S87" s="118"/>
      <c r="T87" s="118"/>
      <c r="U87" s="118"/>
      <c r="V87" s="118"/>
      <c r="W87" s="118"/>
      <c r="X87" s="463"/>
      <c r="Y87" s="463"/>
      <c r="Z87" s="463"/>
      <c r="AA87" s="463"/>
      <c r="AB87" s="463"/>
      <c r="AC87" s="463"/>
      <c r="AD87" s="463"/>
      <c r="AE87" s="463"/>
      <c r="AF87" s="463"/>
      <c r="AG87" s="463"/>
      <c r="AH87" s="463"/>
      <c r="AI87" s="463"/>
      <c r="AJ87" s="463"/>
      <c r="AK87" s="463"/>
      <c r="AL87" s="463"/>
      <c r="AM87" s="463"/>
      <c r="AN87" s="482"/>
      <c r="AO87" s="463"/>
      <c r="AP87" s="463"/>
      <c r="AQ87" s="463"/>
      <c r="AR87" s="463"/>
      <c r="AS87" s="463"/>
      <c r="AT87" s="463"/>
      <c r="AU87" s="463"/>
      <c r="AV87" s="463"/>
      <c r="AW87" s="463"/>
      <c r="AX87" s="463"/>
      <c r="AY87" s="463"/>
      <c r="AZ87" s="463"/>
    </row>
    <row r="88" spans="1:52" s="4" customFormat="1" x14ac:dyDescent="0.2">
      <c r="A88" s="376">
        <v>15900</v>
      </c>
      <c r="B88" s="376" t="s">
        <v>221</v>
      </c>
      <c r="C88" s="376" t="s">
        <v>163</v>
      </c>
      <c r="D88" s="404" t="s">
        <v>3</v>
      </c>
      <c r="E88" s="472"/>
      <c r="F88" s="369"/>
      <c r="G88" s="463">
        <v>162766</v>
      </c>
      <c r="H88" s="463">
        <v>63167</v>
      </c>
      <c r="I88" s="560">
        <v>340.09</v>
      </c>
      <c r="J88" s="543" t="s">
        <v>1</v>
      </c>
      <c r="K88" s="543">
        <v>63167</v>
      </c>
      <c r="L88" s="581"/>
      <c r="M88" s="463">
        <v>63167</v>
      </c>
      <c r="N88" s="463">
        <v>63463</v>
      </c>
      <c r="O88" s="463">
        <v>0</v>
      </c>
      <c r="P88" s="543" t="s">
        <v>1</v>
      </c>
      <c r="Q88" s="543" t="s">
        <v>1</v>
      </c>
      <c r="R88" s="118" t="s">
        <v>458</v>
      </c>
      <c r="S88" s="118" t="s">
        <v>534</v>
      </c>
      <c r="T88" s="118" t="s">
        <v>588</v>
      </c>
      <c r="U88" s="118" t="s">
        <v>633</v>
      </c>
      <c r="V88" s="118"/>
      <c r="W88" s="118"/>
      <c r="X88" s="463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J88" s="463"/>
      <c r="AK88" s="463"/>
      <c r="AL88" s="463"/>
      <c r="AM88" s="463"/>
      <c r="AN88" s="482"/>
      <c r="AO88" s="463"/>
      <c r="AP88" s="463"/>
      <c r="AQ88" s="463"/>
      <c r="AR88" s="463"/>
      <c r="AS88" s="463"/>
      <c r="AT88" s="463"/>
      <c r="AU88" s="463"/>
      <c r="AV88" s="463"/>
      <c r="AW88" s="463"/>
      <c r="AX88" s="463"/>
      <c r="AY88" s="463"/>
      <c r="AZ88" s="463"/>
    </row>
    <row r="89" spans="1:52" s="4" customFormat="1" x14ac:dyDescent="0.2">
      <c r="A89" s="376">
        <v>15950</v>
      </c>
      <c r="B89" s="376" t="s">
        <v>222</v>
      </c>
      <c r="C89" s="376" t="s">
        <v>190</v>
      </c>
      <c r="D89" s="404" t="s">
        <v>4</v>
      </c>
      <c r="E89" s="472"/>
      <c r="F89" s="369"/>
      <c r="G89" s="463">
        <v>73514</v>
      </c>
      <c r="H89" s="463">
        <v>36785</v>
      </c>
      <c r="I89" s="560">
        <v>294</v>
      </c>
      <c r="J89" s="543" t="s">
        <v>1</v>
      </c>
      <c r="K89" s="543">
        <v>35095</v>
      </c>
      <c r="L89" s="581" t="s">
        <v>1</v>
      </c>
      <c r="M89" s="463">
        <v>36589</v>
      </c>
      <c r="N89" s="463">
        <v>0</v>
      </c>
      <c r="O89" s="463">
        <v>0</v>
      </c>
      <c r="P89" s="543" t="s">
        <v>1</v>
      </c>
      <c r="Q89" s="543" t="s">
        <v>1</v>
      </c>
      <c r="R89" s="118" t="s">
        <v>459</v>
      </c>
      <c r="S89" s="118" t="s">
        <v>535</v>
      </c>
      <c r="T89" s="118"/>
      <c r="U89" s="118"/>
      <c r="V89" s="118"/>
      <c r="W89" s="118"/>
      <c r="X89" s="463"/>
      <c r="Y89" s="463"/>
      <c r="Z89" s="463"/>
      <c r="AA89" s="463"/>
      <c r="AB89" s="463"/>
      <c r="AC89" s="463"/>
      <c r="AD89" s="463"/>
      <c r="AE89" s="463"/>
      <c r="AF89" s="463"/>
      <c r="AG89" s="463"/>
      <c r="AH89" s="463"/>
      <c r="AI89" s="463"/>
      <c r="AJ89" s="463"/>
      <c r="AK89" s="463"/>
      <c r="AL89" s="463"/>
      <c r="AM89" s="463"/>
      <c r="AN89" s="482"/>
      <c r="AO89" s="463"/>
      <c r="AP89" s="463"/>
      <c r="AQ89" s="463"/>
      <c r="AR89" s="463"/>
      <c r="AS89" s="463"/>
      <c r="AT89" s="463"/>
      <c r="AU89" s="463"/>
      <c r="AV89" s="463"/>
      <c r="AW89" s="463"/>
      <c r="AX89" s="463"/>
      <c r="AY89" s="463"/>
      <c r="AZ89" s="463"/>
    </row>
    <row r="90" spans="1:52" s="4" customFormat="1" x14ac:dyDescent="0.2">
      <c r="A90" s="376">
        <v>15990</v>
      </c>
      <c r="B90" s="376" t="s">
        <v>211</v>
      </c>
      <c r="C90" s="376"/>
      <c r="D90" s="404" t="s">
        <v>4</v>
      </c>
      <c r="E90" s="472"/>
      <c r="F90" s="369"/>
      <c r="G90" s="463">
        <v>268849</v>
      </c>
      <c r="H90" s="463">
        <v>97067</v>
      </c>
      <c r="I90" s="560">
        <v>609.33000000000004</v>
      </c>
      <c r="J90" s="543" t="s">
        <v>1</v>
      </c>
      <c r="K90" s="543">
        <v>96847</v>
      </c>
      <c r="L90" s="581"/>
      <c r="M90" s="463">
        <v>93431</v>
      </c>
      <c r="N90" s="463">
        <v>93303</v>
      </c>
      <c r="O90" s="463">
        <v>0</v>
      </c>
      <c r="P90" s="543" t="s">
        <v>1</v>
      </c>
      <c r="Q90" s="543" t="s">
        <v>1</v>
      </c>
      <c r="R90" s="118" t="s">
        <v>460</v>
      </c>
      <c r="S90" s="118" t="s">
        <v>536</v>
      </c>
      <c r="T90" s="118" t="s">
        <v>589</v>
      </c>
      <c r="U90" s="118"/>
      <c r="V90" s="118"/>
      <c r="W90" s="118"/>
      <c r="X90" s="463"/>
      <c r="Y90" s="463"/>
      <c r="Z90" s="463"/>
      <c r="AA90" s="463"/>
      <c r="AB90" s="463"/>
      <c r="AC90" s="463"/>
      <c r="AD90" s="463"/>
      <c r="AE90" s="463"/>
      <c r="AF90" s="463"/>
      <c r="AG90" s="463"/>
      <c r="AH90" s="463"/>
      <c r="AI90" s="463"/>
      <c r="AJ90" s="463"/>
      <c r="AK90" s="463"/>
      <c r="AL90" s="463"/>
      <c r="AM90" s="463"/>
      <c r="AN90" s="482"/>
      <c r="AO90" s="463"/>
      <c r="AP90" s="463"/>
      <c r="AQ90" s="463"/>
      <c r="AR90" s="463"/>
      <c r="AS90" s="463"/>
      <c r="AT90" s="463"/>
      <c r="AU90" s="463"/>
      <c r="AV90" s="463"/>
      <c r="AW90" s="463"/>
      <c r="AX90" s="463"/>
      <c r="AY90" s="463"/>
      <c r="AZ90" s="463"/>
    </row>
    <row r="91" spans="1:52" s="4" customFormat="1" x14ac:dyDescent="0.2">
      <c r="A91" s="376">
        <v>16100</v>
      </c>
      <c r="B91" s="376" t="s">
        <v>223</v>
      </c>
      <c r="C91" s="376" t="s">
        <v>293</v>
      </c>
      <c r="D91" s="404" t="s">
        <v>2</v>
      </c>
      <c r="E91" s="472"/>
      <c r="F91" s="369"/>
      <c r="G91" s="463">
        <v>5350</v>
      </c>
      <c r="H91" s="463">
        <v>3733</v>
      </c>
      <c r="I91" s="560">
        <v>200</v>
      </c>
      <c r="J91" s="543" t="s">
        <v>1</v>
      </c>
      <c r="K91" s="543">
        <v>1202</v>
      </c>
      <c r="L91" s="581"/>
      <c r="M91" s="463">
        <v>0</v>
      </c>
      <c r="N91" s="463">
        <v>0</v>
      </c>
      <c r="O91" s="463">
        <v>0</v>
      </c>
      <c r="P91" s="543" t="s">
        <v>1</v>
      </c>
      <c r="Q91" s="543" t="s">
        <v>1</v>
      </c>
      <c r="R91" s="579" t="s">
        <v>461</v>
      </c>
      <c r="S91" s="118" t="s">
        <v>537</v>
      </c>
      <c r="T91" s="118" t="s">
        <v>590</v>
      </c>
      <c r="U91" s="118"/>
      <c r="V91" s="118"/>
      <c r="W91" s="118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3"/>
      <c r="AK91" s="463"/>
      <c r="AL91" s="463"/>
      <c r="AM91" s="463"/>
      <c r="AN91" s="482"/>
      <c r="AO91" s="463"/>
      <c r="AP91" s="463"/>
      <c r="AQ91" s="463"/>
      <c r="AR91" s="463"/>
      <c r="AS91" s="463"/>
      <c r="AT91" s="463"/>
      <c r="AU91" s="463"/>
      <c r="AV91" s="463"/>
      <c r="AW91" s="463"/>
      <c r="AX91" s="463"/>
      <c r="AY91" s="463"/>
      <c r="AZ91" s="463"/>
    </row>
    <row r="92" spans="1:52" s="4" customFormat="1" x14ac:dyDescent="0.2">
      <c r="A92" s="376">
        <v>16150</v>
      </c>
      <c r="B92" s="376" t="s">
        <v>224</v>
      </c>
      <c r="C92" s="376" t="s">
        <v>293</v>
      </c>
      <c r="D92" s="404" t="s">
        <v>2</v>
      </c>
      <c r="E92" s="472"/>
      <c r="F92" s="369"/>
      <c r="G92" s="463">
        <v>42356</v>
      </c>
      <c r="H92" s="463">
        <v>18241</v>
      </c>
      <c r="I92" s="560">
        <v>395.15</v>
      </c>
      <c r="J92" s="543" t="s">
        <v>1</v>
      </c>
      <c r="K92" s="543">
        <v>16785</v>
      </c>
      <c r="L92" s="581"/>
      <c r="M92" s="463">
        <v>16721</v>
      </c>
      <c r="N92" s="463">
        <v>0</v>
      </c>
      <c r="O92" s="463">
        <v>16250</v>
      </c>
      <c r="P92" s="543" t="s">
        <v>1</v>
      </c>
      <c r="Q92" s="543" t="s">
        <v>1</v>
      </c>
      <c r="R92" s="118" t="s">
        <v>462</v>
      </c>
      <c r="S92" s="118"/>
      <c r="T92" s="118"/>
      <c r="U92" s="118"/>
      <c r="V92" s="118"/>
      <c r="W92" s="118"/>
      <c r="X92" s="463"/>
      <c r="Y92" s="463"/>
      <c r="Z92" s="463"/>
      <c r="AA92" s="463"/>
      <c r="AB92" s="463"/>
      <c r="AC92" s="463"/>
      <c r="AD92" s="463"/>
      <c r="AE92" s="463"/>
      <c r="AF92" s="463"/>
      <c r="AG92" s="463"/>
      <c r="AH92" s="463"/>
      <c r="AI92" s="463"/>
      <c r="AJ92" s="463"/>
      <c r="AK92" s="463"/>
      <c r="AL92" s="463"/>
      <c r="AM92" s="463"/>
      <c r="AN92" s="482"/>
      <c r="AO92" s="463"/>
      <c r="AP92" s="463"/>
      <c r="AQ92" s="463"/>
      <c r="AR92" s="463"/>
      <c r="AS92" s="463"/>
      <c r="AT92" s="463"/>
      <c r="AU92" s="463"/>
      <c r="AV92" s="463"/>
      <c r="AW92" s="463"/>
      <c r="AX92" s="463"/>
      <c r="AY92" s="463"/>
      <c r="AZ92" s="463"/>
    </row>
    <row r="93" spans="1:52" s="4" customFormat="1" x14ac:dyDescent="0.2">
      <c r="A93" s="376">
        <v>16200</v>
      </c>
      <c r="B93" s="376" t="s">
        <v>226</v>
      </c>
      <c r="C93" s="376" t="s">
        <v>293</v>
      </c>
      <c r="D93" s="404" t="s">
        <v>2</v>
      </c>
      <c r="E93" s="472"/>
      <c r="F93" s="369"/>
      <c r="G93" s="463">
        <v>15328</v>
      </c>
      <c r="H93" s="463">
        <v>7500</v>
      </c>
      <c r="I93" s="560">
        <v>380</v>
      </c>
      <c r="J93" s="543" t="s">
        <v>1</v>
      </c>
      <c r="K93" s="543">
        <v>4989</v>
      </c>
      <c r="L93" s="581"/>
      <c r="M93" s="463">
        <v>4989</v>
      </c>
      <c r="N93" s="463">
        <v>0</v>
      </c>
      <c r="O93" s="463">
        <v>0</v>
      </c>
      <c r="P93" s="543" t="s">
        <v>1</v>
      </c>
      <c r="Q93" s="543" t="s">
        <v>1</v>
      </c>
      <c r="R93" s="118" t="s">
        <v>463</v>
      </c>
      <c r="S93" s="118"/>
      <c r="T93" s="118"/>
      <c r="U93" s="118"/>
      <c r="V93" s="118"/>
      <c r="W93" s="118"/>
      <c r="X93" s="463"/>
      <c r="Y93" s="463"/>
      <c r="Z93" s="463"/>
      <c r="AA93" s="463"/>
      <c r="AB93" s="463"/>
      <c r="AC93" s="463"/>
      <c r="AD93" s="463"/>
      <c r="AE93" s="463"/>
      <c r="AF93" s="463"/>
      <c r="AG93" s="463"/>
      <c r="AH93" s="463"/>
      <c r="AI93" s="463"/>
      <c r="AJ93" s="463"/>
      <c r="AK93" s="463"/>
      <c r="AL93" s="463"/>
      <c r="AM93" s="463"/>
      <c r="AN93" s="482"/>
      <c r="AO93" s="463"/>
      <c r="AP93" s="463"/>
      <c r="AQ93" s="463"/>
      <c r="AR93" s="463"/>
      <c r="AS93" s="463"/>
      <c r="AT93" s="463"/>
      <c r="AU93" s="463"/>
      <c r="AV93" s="463"/>
      <c r="AW93" s="463"/>
      <c r="AX93" s="463"/>
      <c r="AY93" s="463"/>
      <c r="AZ93" s="463"/>
    </row>
    <row r="94" spans="1:52" s="4" customFormat="1" x14ac:dyDescent="0.2">
      <c r="A94" s="376">
        <v>16260</v>
      </c>
      <c r="B94" s="376" t="s">
        <v>227</v>
      </c>
      <c r="C94" s="376" t="s">
        <v>129</v>
      </c>
      <c r="D94" s="404" t="s">
        <v>4</v>
      </c>
      <c r="E94" s="472"/>
      <c r="F94" s="369"/>
      <c r="G94" s="463">
        <v>235981</v>
      </c>
      <c r="H94" s="463">
        <v>65000</v>
      </c>
      <c r="I94" s="560">
        <v>403.5</v>
      </c>
      <c r="J94" s="543" t="s">
        <v>1</v>
      </c>
      <c r="K94" s="543">
        <v>61908</v>
      </c>
      <c r="L94" s="581" t="s">
        <v>1</v>
      </c>
      <c r="M94" s="463">
        <v>54263</v>
      </c>
      <c r="N94" s="463">
        <v>38949</v>
      </c>
      <c r="O94" s="463">
        <v>0</v>
      </c>
      <c r="P94" s="543" t="s">
        <v>1</v>
      </c>
      <c r="Q94" s="463"/>
      <c r="R94" s="118"/>
      <c r="S94" s="118"/>
      <c r="T94" s="118"/>
      <c r="U94" s="118"/>
      <c r="V94" s="118"/>
      <c r="W94" s="118"/>
      <c r="X94" s="463"/>
      <c r="Y94" s="463"/>
      <c r="Z94" s="463"/>
      <c r="AA94" s="463"/>
      <c r="AB94" s="463"/>
      <c r="AC94" s="463"/>
      <c r="AD94" s="463"/>
      <c r="AE94" s="463"/>
      <c r="AF94" s="463"/>
      <c r="AG94" s="463"/>
      <c r="AH94" s="463"/>
      <c r="AI94" s="463"/>
      <c r="AJ94" s="463"/>
      <c r="AK94" s="463"/>
      <c r="AL94" s="463"/>
      <c r="AM94" s="463"/>
      <c r="AN94" s="482"/>
      <c r="AO94" s="463"/>
      <c r="AP94" s="463"/>
      <c r="AQ94" s="463"/>
      <c r="AR94" s="463"/>
      <c r="AS94" s="463"/>
      <c r="AT94" s="463"/>
      <c r="AU94" s="463"/>
      <c r="AV94" s="463"/>
      <c r="AW94" s="463"/>
      <c r="AX94" s="463"/>
      <c r="AY94" s="463"/>
      <c r="AZ94" s="463"/>
    </row>
    <row r="95" spans="1:52" s="4" customFormat="1" x14ac:dyDescent="0.2">
      <c r="A95" s="376">
        <v>16350</v>
      </c>
      <c r="B95" s="376" t="s">
        <v>228</v>
      </c>
      <c r="C95" s="376" t="s">
        <v>129</v>
      </c>
      <c r="D95" s="404" t="s">
        <v>4</v>
      </c>
      <c r="E95" s="472"/>
      <c r="F95" s="369"/>
      <c r="G95" s="463">
        <v>202076</v>
      </c>
      <c r="H95" s="463">
        <v>72414</v>
      </c>
      <c r="I95" s="560">
        <v>384</v>
      </c>
      <c r="J95" s="543" t="s">
        <v>1</v>
      </c>
      <c r="K95" s="543">
        <v>72414</v>
      </c>
      <c r="L95" s="581" t="s">
        <v>1</v>
      </c>
      <c r="M95" s="463">
        <v>72414</v>
      </c>
      <c r="N95" s="463">
        <v>0</v>
      </c>
      <c r="O95" s="463">
        <v>56140</v>
      </c>
      <c r="P95" s="543" t="s">
        <v>1</v>
      </c>
      <c r="Q95" s="543" t="s">
        <v>1</v>
      </c>
      <c r="R95" s="118" t="s">
        <v>464</v>
      </c>
      <c r="S95" s="118"/>
      <c r="T95" s="118"/>
      <c r="U95" s="118"/>
      <c r="V95" s="118"/>
      <c r="W95" s="118"/>
      <c r="X95" s="463"/>
      <c r="Y95" s="463"/>
      <c r="Z95" s="463"/>
      <c r="AA95" s="463"/>
      <c r="AB95" s="463"/>
      <c r="AC95" s="463"/>
      <c r="AD95" s="463"/>
      <c r="AE95" s="463"/>
      <c r="AF95" s="463"/>
      <c r="AG95" s="463"/>
      <c r="AH95" s="463"/>
      <c r="AI95" s="463"/>
      <c r="AJ95" s="463"/>
      <c r="AK95" s="463"/>
      <c r="AL95" s="463"/>
      <c r="AM95" s="463"/>
      <c r="AN95" s="482"/>
      <c r="AO95" s="463"/>
      <c r="AP95" s="463"/>
      <c r="AQ95" s="463"/>
      <c r="AR95" s="463"/>
      <c r="AS95" s="463"/>
      <c r="AT95" s="463"/>
      <c r="AU95" s="463"/>
      <c r="AV95" s="463"/>
      <c r="AW95" s="463"/>
      <c r="AX95" s="463"/>
      <c r="AY95" s="463"/>
      <c r="AZ95" s="463"/>
    </row>
    <row r="96" spans="1:52" s="4" customFormat="1" x14ac:dyDescent="0.2">
      <c r="A96" s="376">
        <v>16380</v>
      </c>
      <c r="B96" s="376" t="s">
        <v>187</v>
      </c>
      <c r="C96" s="376" t="s">
        <v>294</v>
      </c>
      <c r="D96" s="404" t="s">
        <v>5</v>
      </c>
      <c r="E96" s="472"/>
      <c r="F96" s="369"/>
      <c r="G96" s="463">
        <v>78967</v>
      </c>
      <c r="H96" s="463">
        <v>34204</v>
      </c>
      <c r="I96" s="560">
        <v>425</v>
      </c>
      <c r="J96" s="543" t="s">
        <v>1</v>
      </c>
      <c r="K96" s="543">
        <v>29476</v>
      </c>
      <c r="L96" s="581"/>
      <c r="M96" s="463">
        <v>30095</v>
      </c>
      <c r="N96" s="463">
        <v>0</v>
      </c>
      <c r="O96" s="463">
        <v>28599</v>
      </c>
      <c r="P96" s="543" t="s">
        <v>1</v>
      </c>
      <c r="Q96" s="543" t="s">
        <v>1</v>
      </c>
      <c r="R96" s="118" t="s">
        <v>465</v>
      </c>
      <c r="S96" s="118" t="s">
        <v>538</v>
      </c>
      <c r="T96" s="118" t="s">
        <v>591</v>
      </c>
      <c r="U96" s="118" t="s">
        <v>634</v>
      </c>
      <c r="V96" s="118" t="s">
        <v>665</v>
      </c>
      <c r="W96" s="118" t="s">
        <v>688</v>
      </c>
      <c r="X96" s="463"/>
      <c r="Y96" s="463"/>
      <c r="Z96" s="463"/>
      <c r="AA96" s="463"/>
      <c r="AB96" s="463"/>
      <c r="AC96" s="463"/>
      <c r="AD96" s="463"/>
      <c r="AE96" s="463"/>
      <c r="AF96" s="463"/>
      <c r="AG96" s="463"/>
      <c r="AH96" s="463"/>
      <c r="AI96" s="463"/>
      <c r="AJ96" s="463"/>
      <c r="AK96" s="463"/>
      <c r="AL96" s="463"/>
      <c r="AM96" s="463"/>
      <c r="AN96" s="482"/>
      <c r="AO96" s="463"/>
      <c r="AP96" s="463"/>
      <c r="AQ96" s="463"/>
      <c r="AR96" s="463"/>
      <c r="AS96" s="463"/>
      <c r="AT96" s="463"/>
      <c r="AU96" s="463"/>
      <c r="AV96" s="463"/>
      <c r="AW96" s="463"/>
      <c r="AX96" s="463"/>
      <c r="AY96" s="463"/>
      <c r="AZ96" s="463"/>
    </row>
    <row r="97" spans="1:52" s="4" customFormat="1" x14ac:dyDescent="0.2">
      <c r="A97" s="376">
        <v>16400</v>
      </c>
      <c r="B97" s="376" t="s">
        <v>229</v>
      </c>
      <c r="C97" s="376" t="s">
        <v>163</v>
      </c>
      <c r="D97" s="404" t="s">
        <v>3</v>
      </c>
      <c r="E97" s="472"/>
      <c r="F97" s="369"/>
      <c r="G97" s="463">
        <v>71406</v>
      </c>
      <c r="H97" s="463">
        <v>31649</v>
      </c>
      <c r="I97" s="560">
        <v>401</v>
      </c>
      <c r="J97" s="543" t="s">
        <v>1</v>
      </c>
      <c r="K97" s="543">
        <v>33798</v>
      </c>
      <c r="L97" s="581" t="s">
        <v>1</v>
      </c>
      <c r="M97" s="463">
        <v>33792</v>
      </c>
      <c r="N97" s="463">
        <v>0</v>
      </c>
      <c r="O97" s="463">
        <v>0</v>
      </c>
      <c r="P97" s="543" t="s">
        <v>1</v>
      </c>
      <c r="Q97" s="543" t="s">
        <v>1</v>
      </c>
      <c r="R97" s="118" t="s">
        <v>466</v>
      </c>
      <c r="S97" s="118"/>
      <c r="T97" s="118"/>
      <c r="U97" s="118"/>
      <c r="V97" s="118"/>
      <c r="W97" s="118"/>
      <c r="X97" s="463"/>
      <c r="Y97" s="463"/>
      <c r="Z97" s="463"/>
      <c r="AA97" s="463"/>
      <c r="AB97" s="463"/>
      <c r="AC97" s="463"/>
      <c r="AD97" s="463"/>
      <c r="AE97" s="463"/>
      <c r="AF97" s="463"/>
      <c r="AG97" s="463"/>
      <c r="AH97" s="463"/>
      <c r="AI97" s="463"/>
      <c r="AJ97" s="463"/>
      <c r="AK97" s="463"/>
      <c r="AL97" s="463"/>
      <c r="AM97" s="463"/>
      <c r="AN97" s="482"/>
      <c r="AO97" s="463"/>
      <c r="AP97" s="463"/>
      <c r="AQ97" s="463"/>
      <c r="AR97" s="463"/>
      <c r="AS97" s="463"/>
      <c r="AT97" s="463"/>
      <c r="AU97" s="463"/>
      <c r="AV97" s="463"/>
      <c r="AW97" s="463"/>
      <c r="AX97" s="463"/>
      <c r="AY97" s="463"/>
      <c r="AZ97" s="463"/>
    </row>
    <row r="98" spans="1:52" s="4" customFormat="1" x14ac:dyDescent="0.2">
      <c r="A98" s="376">
        <v>16490</v>
      </c>
      <c r="B98" s="376" t="s">
        <v>225</v>
      </c>
      <c r="C98" s="376" t="s">
        <v>137</v>
      </c>
      <c r="D98" s="404" t="s">
        <v>2</v>
      </c>
      <c r="E98" s="472"/>
      <c r="F98" s="369"/>
      <c r="G98" s="463">
        <v>57334</v>
      </c>
      <c r="H98" s="463">
        <v>24271</v>
      </c>
      <c r="I98" s="560">
        <v>300</v>
      </c>
      <c r="J98" s="543" t="s">
        <v>1</v>
      </c>
      <c r="K98" s="543">
        <v>19728</v>
      </c>
      <c r="L98" s="581"/>
      <c r="M98" s="463">
        <v>21709</v>
      </c>
      <c r="N98" s="463">
        <v>13947</v>
      </c>
      <c r="O98" s="463">
        <v>2082</v>
      </c>
      <c r="P98" s="543" t="s">
        <v>1</v>
      </c>
      <c r="Q98" s="543" t="s">
        <v>1</v>
      </c>
      <c r="R98" s="118" t="s">
        <v>467</v>
      </c>
      <c r="S98" s="118" t="s">
        <v>539</v>
      </c>
      <c r="T98" s="118" t="s">
        <v>592</v>
      </c>
      <c r="U98" s="118" t="s">
        <v>635</v>
      </c>
      <c r="V98" s="118" t="s">
        <v>666</v>
      </c>
      <c r="W98" s="118" t="s">
        <v>689</v>
      </c>
      <c r="X98" s="463"/>
      <c r="Y98" s="463"/>
      <c r="Z98" s="463"/>
      <c r="AA98" s="463"/>
      <c r="AB98" s="463"/>
      <c r="AC98" s="463"/>
      <c r="AD98" s="463"/>
      <c r="AE98" s="463"/>
      <c r="AF98" s="463"/>
      <c r="AG98" s="463"/>
      <c r="AH98" s="463"/>
      <c r="AI98" s="463"/>
      <c r="AJ98" s="463"/>
      <c r="AK98" s="463"/>
      <c r="AL98" s="463"/>
      <c r="AM98" s="463"/>
      <c r="AN98" s="482"/>
      <c r="AO98" s="463"/>
      <c r="AP98" s="463"/>
      <c r="AQ98" s="463"/>
      <c r="AR98" s="463"/>
      <c r="AS98" s="463"/>
      <c r="AT98" s="463"/>
      <c r="AU98" s="463"/>
      <c r="AV98" s="463"/>
      <c r="AW98" s="463"/>
      <c r="AX98" s="463"/>
      <c r="AY98" s="463"/>
      <c r="AZ98" s="463"/>
    </row>
    <row r="99" spans="1:52" s="4" customFormat="1" x14ac:dyDescent="0.2">
      <c r="A99" s="376">
        <v>16550</v>
      </c>
      <c r="B99" s="376" t="s">
        <v>230</v>
      </c>
      <c r="C99" s="376" t="s">
        <v>127</v>
      </c>
      <c r="D99" s="404" t="s">
        <v>4</v>
      </c>
      <c r="E99" s="472"/>
      <c r="F99" s="369"/>
      <c r="G99" s="463">
        <v>147408</v>
      </c>
      <c r="H99" s="463">
        <v>57679</v>
      </c>
      <c r="I99" s="560">
        <v>543</v>
      </c>
      <c r="J99" s="543" t="s">
        <v>1</v>
      </c>
      <c r="K99" s="543">
        <v>40605</v>
      </c>
      <c r="L99" s="581" t="s">
        <v>1</v>
      </c>
      <c r="M99" s="463">
        <v>41710</v>
      </c>
      <c r="N99" s="463">
        <v>30443</v>
      </c>
      <c r="O99" s="463">
        <v>0</v>
      </c>
      <c r="P99" s="543" t="s">
        <v>1</v>
      </c>
      <c r="Q99" s="543" t="s">
        <v>1</v>
      </c>
      <c r="R99" s="118" t="s">
        <v>468</v>
      </c>
      <c r="S99" s="118"/>
      <c r="T99" s="118"/>
      <c r="U99" s="118"/>
      <c r="V99" s="118"/>
      <c r="W99" s="118"/>
      <c r="X99" s="463"/>
      <c r="Y99" s="463"/>
      <c r="Z99" s="463"/>
      <c r="AA99" s="463"/>
      <c r="AB99" s="463"/>
      <c r="AC99" s="463"/>
      <c r="AD99" s="463"/>
      <c r="AE99" s="463"/>
      <c r="AF99" s="463"/>
      <c r="AG99" s="463"/>
      <c r="AH99" s="463"/>
      <c r="AI99" s="463"/>
      <c r="AJ99" s="463"/>
      <c r="AK99" s="463"/>
      <c r="AL99" s="463"/>
      <c r="AM99" s="463"/>
      <c r="AN99" s="482"/>
      <c r="AO99" s="463"/>
      <c r="AP99" s="463"/>
      <c r="AQ99" s="463"/>
      <c r="AR99" s="463"/>
      <c r="AS99" s="463"/>
      <c r="AT99" s="463"/>
      <c r="AU99" s="463"/>
      <c r="AV99" s="463"/>
      <c r="AW99" s="463"/>
      <c r="AX99" s="463"/>
      <c r="AY99" s="463"/>
      <c r="AZ99" s="463"/>
    </row>
    <row r="100" spans="1:52" s="4" customFormat="1" x14ac:dyDescent="0.2">
      <c r="A100" s="376">
        <v>16610</v>
      </c>
      <c r="B100" s="376" t="s">
        <v>231</v>
      </c>
      <c r="C100" s="376" t="s">
        <v>131</v>
      </c>
      <c r="D100" s="404" t="s">
        <v>5</v>
      </c>
      <c r="E100" s="472"/>
      <c r="F100" s="369"/>
      <c r="G100" s="463">
        <v>23426</v>
      </c>
      <c r="H100" s="463">
        <v>9892</v>
      </c>
      <c r="I100" s="560">
        <v>425</v>
      </c>
      <c r="J100" s="543" t="s">
        <v>1</v>
      </c>
      <c r="K100" s="543">
        <v>7471</v>
      </c>
      <c r="L100" s="581"/>
      <c r="M100" s="463">
        <v>7482</v>
      </c>
      <c r="N100" s="463">
        <v>0</v>
      </c>
      <c r="O100" s="463">
        <v>7465</v>
      </c>
      <c r="P100" s="543" t="s">
        <v>1</v>
      </c>
      <c r="Q100" s="543" t="s">
        <v>1</v>
      </c>
      <c r="R100" s="118" t="s">
        <v>469</v>
      </c>
      <c r="S100" s="118" t="s">
        <v>540</v>
      </c>
      <c r="T100" s="118" t="s">
        <v>593</v>
      </c>
      <c r="U100" s="118" t="s">
        <v>636</v>
      </c>
      <c r="V100" s="118"/>
      <c r="W100" s="118"/>
      <c r="X100" s="463"/>
      <c r="Y100" s="463"/>
      <c r="Z100" s="463"/>
      <c r="AA100" s="463"/>
      <c r="AB100" s="463"/>
      <c r="AC100" s="463"/>
      <c r="AD100" s="463"/>
      <c r="AE100" s="463"/>
      <c r="AF100" s="463"/>
      <c r="AG100" s="463"/>
      <c r="AH100" s="463"/>
      <c r="AI100" s="463"/>
      <c r="AJ100" s="463"/>
      <c r="AK100" s="463"/>
      <c r="AL100" s="463"/>
      <c r="AM100" s="463"/>
      <c r="AN100" s="482"/>
      <c r="AO100" s="463"/>
      <c r="AP100" s="463"/>
      <c r="AQ100" s="463"/>
      <c r="AR100" s="463"/>
      <c r="AS100" s="463"/>
      <c r="AT100" s="463"/>
      <c r="AU100" s="463"/>
      <c r="AV100" s="463"/>
      <c r="AW100" s="463"/>
      <c r="AX100" s="463"/>
      <c r="AY100" s="463"/>
      <c r="AZ100" s="463"/>
    </row>
    <row r="101" spans="1:52" s="4" customFormat="1" x14ac:dyDescent="0.2">
      <c r="A101" s="376">
        <v>16700</v>
      </c>
      <c r="B101" s="376" t="s">
        <v>232</v>
      </c>
      <c r="C101" s="376" t="s">
        <v>190</v>
      </c>
      <c r="D101" s="404" t="s">
        <v>4</v>
      </c>
      <c r="E101" s="472"/>
      <c r="F101" s="369"/>
      <c r="G101" s="463">
        <v>119544</v>
      </c>
      <c r="H101" s="463">
        <v>45866</v>
      </c>
      <c r="I101" s="560">
        <v>432</v>
      </c>
      <c r="J101" s="543" t="s">
        <v>1</v>
      </c>
      <c r="K101" s="543">
        <v>33177</v>
      </c>
      <c r="L101" s="581"/>
      <c r="M101" s="463">
        <v>34185</v>
      </c>
      <c r="N101" s="463">
        <v>27527</v>
      </c>
      <c r="O101" s="463">
        <v>0</v>
      </c>
      <c r="P101" s="543" t="s">
        <v>1</v>
      </c>
      <c r="Q101" s="543" t="s">
        <v>1</v>
      </c>
      <c r="R101" s="118" t="s">
        <v>470</v>
      </c>
      <c r="S101" s="118"/>
      <c r="T101" s="118"/>
      <c r="U101" s="118"/>
      <c r="V101" s="118"/>
      <c r="W101" s="118"/>
      <c r="X101" s="463"/>
      <c r="Y101" s="463"/>
      <c r="Z101" s="463"/>
      <c r="AA101" s="463"/>
      <c r="AB101" s="463"/>
      <c r="AC101" s="463"/>
      <c r="AD101" s="463"/>
      <c r="AE101" s="463"/>
      <c r="AF101" s="463"/>
      <c r="AG101" s="463"/>
      <c r="AH101" s="463"/>
      <c r="AI101" s="463"/>
      <c r="AJ101" s="463"/>
      <c r="AK101" s="463"/>
      <c r="AL101" s="463"/>
      <c r="AM101" s="463"/>
      <c r="AN101" s="482"/>
      <c r="AO101" s="463"/>
      <c r="AP101" s="463"/>
      <c r="AQ101" s="463"/>
      <c r="AR101" s="463"/>
      <c r="AS101" s="463"/>
      <c r="AT101" s="463"/>
      <c r="AU101" s="463"/>
      <c r="AV101" s="463"/>
      <c r="AW101" s="463"/>
      <c r="AX101" s="463"/>
      <c r="AY101" s="463"/>
      <c r="AZ101" s="463"/>
    </row>
    <row r="102" spans="1:52" s="4" customFormat="1" x14ac:dyDescent="0.2">
      <c r="A102" s="376">
        <v>16900</v>
      </c>
      <c r="B102" s="376" t="s">
        <v>233</v>
      </c>
      <c r="C102" s="376" t="s">
        <v>291</v>
      </c>
      <c r="D102" s="404" t="s">
        <v>3</v>
      </c>
      <c r="E102" s="472"/>
      <c r="F102" s="369"/>
      <c r="G102" s="463">
        <v>70734</v>
      </c>
      <c r="H102" s="463">
        <v>26863</v>
      </c>
      <c r="I102" s="560">
        <v>535</v>
      </c>
      <c r="J102" s="543" t="s">
        <v>1</v>
      </c>
      <c r="K102" s="543">
        <v>25887</v>
      </c>
      <c r="L102" s="581"/>
      <c r="M102" s="463">
        <v>25826</v>
      </c>
      <c r="N102" s="463">
        <v>0</v>
      </c>
      <c r="O102" s="463">
        <v>24327</v>
      </c>
      <c r="P102" s="543" t="s">
        <v>1</v>
      </c>
      <c r="Q102" s="543" t="s">
        <v>1</v>
      </c>
      <c r="R102" s="118" t="s">
        <v>471</v>
      </c>
      <c r="S102" s="118"/>
      <c r="T102" s="118"/>
      <c r="U102" s="118"/>
      <c r="V102" s="118"/>
      <c r="W102" s="118"/>
      <c r="X102" s="463"/>
      <c r="Y102" s="463"/>
      <c r="Z102" s="463"/>
      <c r="AA102" s="463"/>
      <c r="AB102" s="463"/>
      <c r="AC102" s="463"/>
      <c r="AD102" s="463"/>
      <c r="AE102" s="463"/>
      <c r="AF102" s="463"/>
      <c r="AG102" s="463"/>
      <c r="AH102" s="463"/>
      <c r="AI102" s="463"/>
      <c r="AJ102" s="463"/>
      <c r="AK102" s="463"/>
      <c r="AL102" s="463"/>
      <c r="AM102" s="463"/>
      <c r="AN102" s="482"/>
      <c r="AO102" s="463"/>
      <c r="AP102" s="463"/>
      <c r="AQ102" s="463"/>
      <c r="AR102" s="463"/>
      <c r="AS102" s="463"/>
      <c r="AT102" s="463"/>
      <c r="AU102" s="463"/>
      <c r="AV102" s="463"/>
      <c r="AW102" s="463"/>
      <c r="AX102" s="463"/>
      <c r="AY102" s="463"/>
      <c r="AZ102" s="463"/>
    </row>
    <row r="103" spans="1:52" s="4" customFormat="1" x14ac:dyDescent="0.2">
      <c r="A103" s="376">
        <v>16950</v>
      </c>
      <c r="B103" s="376" t="s">
        <v>234</v>
      </c>
      <c r="C103" s="376" t="s">
        <v>291</v>
      </c>
      <c r="D103" s="404" t="s">
        <v>3</v>
      </c>
      <c r="E103" s="472"/>
      <c r="F103" s="369"/>
      <c r="G103" s="463">
        <v>101462</v>
      </c>
      <c r="H103" s="463">
        <v>54514</v>
      </c>
      <c r="I103" s="560">
        <v>315</v>
      </c>
      <c r="J103" s="543" t="s">
        <v>1</v>
      </c>
      <c r="K103" s="543">
        <v>50966</v>
      </c>
      <c r="L103" s="581"/>
      <c r="M103" s="463">
        <v>51223</v>
      </c>
      <c r="N103" s="463">
        <v>0</v>
      </c>
      <c r="O103" s="463">
        <v>0</v>
      </c>
      <c r="P103" s="543" t="s">
        <v>1</v>
      </c>
      <c r="Q103" s="543" t="s">
        <v>1</v>
      </c>
      <c r="R103" s="118" t="s">
        <v>472</v>
      </c>
      <c r="S103" s="118" t="s">
        <v>541</v>
      </c>
      <c r="T103" s="118" t="s">
        <v>594</v>
      </c>
      <c r="U103" s="118" t="s">
        <v>637</v>
      </c>
      <c r="V103" s="118" t="s">
        <v>667</v>
      </c>
      <c r="W103" s="118" t="s">
        <v>690</v>
      </c>
      <c r="X103" s="463"/>
      <c r="Y103" s="463"/>
      <c r="Z103" s="463"/>
      <c r="AA103" s="463"/>
      <c r="AB103" s="463"/>
      <c r="AC103" s="463"/>
      <c r="AD103" s="463"/>
      <c r="AE103" s="463"/>
      <c r="AF103" s="463"/>
      <c r="AG103" s="463"/>
      <c r="AH103" s="463"/>
      <c r="AI103" s="463"/>
      <c r="AJ103" s="463"/>
      <c r="AK103" s="463"/>
      <c r="AL103" s="463"/>
      <c r="AM103" s="463"/>
      <c r="AN103" s="482"/>
      <c r="AO103" s="463"/>
      <c r="AP103" s="463"/>
      <c r="AQ103" s="463"/>
      <c r="AR103" s="463"/>
      <c r="AS103" s="463"/>
      <c r="AT103" s="463"/>
      <c r="AU103" s="463"/>
      <c r="AV103" s="463"/>
      <c r="AW103" s="463"/>
      <c r="AX103" s="463"/>
      <c r="AY103" s="463"/>
      <c r="AZ103" s="463"/>
    </row>
    <row r="104" spans="1:52" s="4" customFormat="1" x14ac:dyDescent="0.2">
      <c r="A104" s="376">
        <v>17000</v>
      </c>
      <c r="B104" s="376" t="s">
        <v>235</v>
      </c>
      <c r="C104" s="376" t="s">
        <v>163</v>
      </c>
      <c r="D104" s="404" t="s">
        <v>5</v>
      </c>
      <c r="E104" s="472"/>
      <c r="F104" s="369"/>
      <c r="G104" s="463">
        <v>24061</v>
      </c>
      <c r="H104" s="463">
        <v>8082</v>
      </c>
      <c r="I104" s="560">
        <v>460</v>
      </c>
      <c r="J104" s="543" t="s">
        <v>1</v>
      </c>
      <c r="K104" s="543">
        <v>9003</v>
      </c>
      <c r="L104" s="581"/>
      <c r="M104" s="463">
        <v>8985</v>
      </c>
      <c r="N104" s="463">
        <v>7182</v>
      </c>
      <c r="O104" s="463">
        <v>0</v>
      </c>
      <c r="P104" s="543" t="s">
        <v>1</v>
      </c>
      <c r="Q104" s="543" t="s">
        <v>1</v>
      </c>
      <c r="R104" s="118" t="s">
        <v>473</v>
      </c>
      <c r="S104" s="118"/>
      <c r="T104" s="118"/>
      <c r="U104" s="118"/>
      <c r="V104" s="118"/>
      <c r="W104" s="118"/>
      <c r="X104" s="463"/>
      <c r="Y104" s="463"/>
      <c r="Z104" s="463"/>
      <c r="AA104" s="463"/>
      <c r="AB104" s="463"/>
      <c r="AC104" s="463"/>
      <c r="AD104" s="463"/>
      <c r="AE104" s="463"/>
      <c r="AF104" s="463"/>
      <c r="AG104" s="463"/>
      <c r="AH104" s="463"/>
      <c r="AI104" s="463"/>
      <c r="AJ104" s="463"/>
      <c r="AK104" s="463"/>
      <c r="AL104" s="463"/>
      <c r="AM104" s="463"/>
      <c r="AN104" s="482"/>
      <c r="AO104" s="463"/>
      <c r="AP104" s="463"/>
      <c r="AQ104" s="463"/>
      <c r="AR104" s="463"/>
      <c r="AS104" s="463"/>
      <c r="AT104" s="463"/>
      <c r="AU104" s="463"/>
      <c r="AV104" s="463"/>
      <c r="AW104" s="463"/>
      <c r="AX104" s="463"/>
      <c r="AY104" s="463"/>
      <c r="AZ104" s="463"/>
    </row>
    <row r="105" spans="1:52" s="4" customFormat="1" x14ac:dyDescent="0.2">
      <c r="A105" s="376">
        <v>17040</v>
      </c>
      <c r="B105" s="376" t="s">
        <v>147</v>
      </c>
      <c r="C105" s="376" t="s">
        <v>137</v>
      </c>
      <c r="D105" s="404" t="s">
        <v>2</v>
      </c>
      <c r="E105" s="472"/>
      <c r="F105" s="369"/>
      <c r="G105" s="463">
        <v>20880</v>
      </c>
      <c r="H105" s="463">
        <v>8432</v>
      </c>
      <c r="I105" s="560">
        <v>339</v>
      </c>
      <c r="J105" s="543" t="s">
        <v>1</v>
      </c>
      <c r="K105" s="543">
        <v>4204</v>
      </c>
      <c r="L105" s="581"/>
      <c r="M105" s="463">
        <v>7364</v>
      </c>
      <c r="N105" s="463">
        <v>0</v>
      </c>
      <c r="O105" s="463">
        <v>3100</v>
      </c>
      <c r="P105" s="463"/>
      <c r="Q105" s="543" t="s">
        <v>1</v>
      </c>
      <c r="R105" s="118" t="s">
        <v>474</v>
      </c>
      <c r="S105" s="118" t="s">
        <v>542</v>
      </c>
      <c r="T105" s="118" t="s">
        <v>595</v>
      </c>
      <c r="U105" s="118" t="s">
        <v>638</v>
      </c>
      <c r="V105" s="118" t="s">
        <v>668</v>
      </c>
      <c r="W105" s="118" t="s">
        <v>691</v>
      </c>
      <c r="X105" s="463"/>
      <c r="Y105" s="463"/>
      <c r="Z105" s="463"/>
      <c r="AA105" s="463"/>
      <c r="AB105" s="463"/>
      <c r="AC105" s="463"/>
      <c r="AD105" s="463"/>
      <c r="AE105" s="463"/>
      <c r="AF105" s="463"/>
      <c r="AG105" s="463"/>
      <c r="AH105" s="463"/>
      <c r="AI105" s="463"/>
      <c r="AJ105" s="463"/>
      <c r="AK105" s="463"/>
      <c r="AL105" s="463"/>
      <c r="AM105" s="463"/>
      <c r="AN105" s="482"/>
      <c r="AO105" s="463"/>
      <c r="AP105" s="463"/>
      <c r="AQ105" s="463"/>
      <c r="AR105" s="463"/>
      <c r="AS105" s="463"/>
      <c r="AT105" s="463"/>
      <c r="AU105" s="463"/>
      <c r="AV105" s="463"/>
      <c r="AW105" s="463"/>
      <c r="AX105" s="463"/>
      <c r="AY105" s="463"/>
      <c r="AZ105" s="463"/>
    </row>
    <row r="106" spans="1:52" s="4" customFormat="1" x14ac:dyDescent="0.2">
      <c r="A106" s="376">
        <v>17080</v>
      </c>
      <c r="B106" s="376" t="s">
        <v>242</v>
      </c>
      <c r="C106" s="376" t="s">
        <v>142</v>
      </c>
      <c r="D106" s="404" t="s">
        <v>2</v>
      </c>
      <c r="E106" s="472"/>
      <c r="F106" s="369"/>
      <c r="G106" s="463">
        <v>15013</v>
      </c>
      <c r="H106" s="463">
        <v>5752</v>
      </c>
      <c r="I106" s="560">
        <v>399</v>
      </c>
      <c r="J106" s="543" t="s">
        <v>1</v>
      </c>
      <c r="K106" s="543">
        <v>5650</v>
      </c>
      <c r="L106" s="581"/>
      <c r="M106" s="463">
        <v>5678</v>
      </c>
      <c r="N106" s="463">
        <v>0</v>
      </c>
      <c r="O106" s="463">
        <v>0</v>
      </c>
      <c r="P106" s="463"/>
      <c r="Q106" s="543" t="s">
        <v>1</v>
      </c>
      <c r="R106" s="118" t="s">
        <v>475</v>
      </c>
      <c r="S106" s="118" t="s">
        <v>543</v>
      </c>
      <c r="T106" s="118" t="s">
        <v>596</v>
      </c>
      <c r="U106" s="118"/>
      <c r="V106" s="118"/>
      <c r="W106" s="118"/>
      <c r="X106" s="463"/>
      <c r="Y106" s="463"/>
      <c r="Z106" s="463"/>
      <c r="AA106" s="463"/>
      <c r="AB106" s="463"/>
      <c r="AC106" s="463"/>
      <c r="AD106" s="463"/>
      <c r="AE106" s="463"/>
      <c r="AF106" s="463"/>
      <c r="AG106" s="463"/>
      <c r="AH106" s="463"/>
      <c r="AI106" s="463"/>
      <c r="AJ106" s="463"/>
      <c r="AK106" s="463"/>
      <c r="AL106" s="463"/>
      <c r="AM106" s="463"/>
      <c r="AN106" s="482"/>
      <c r="AO106" s="463"/>
      <c r="AP106" s="463"/>
      <c r="AQ106" s="463"/>
      <c r="AR106" s="463"/>
      <c r="AS106" s="463"/>
      <c r="AT106" s="463"/>
      <c r="AU106" s="463"/>
      <c r="AV106" s="463"/>
      <c r="AW106" s="463"/>
      <c r="AX106" s="463"/>
      <c r="AY106" s="463"/>
      <c r="AZ106" s="463"/>
    </row>
    <row r="107" spans="1:52" s="4" customFormat="1" x14ac:dyDescent="0.2">
      <c r="A107" s="376">
        <v>17100</v>
      </c>
      <c r="B107" s="376" t="s">
        <v>236</v>
      </c>
      <c r="C107" s="376"/>
      <c r="D107" s="404" t="s">
        <v>4</v>
      </c>
      <c r="E107" s="472"/>
      <c r="F107" s="369"/>
      <c r="G107" s="463">
        <v>40963</v>
      </c>
      <c r="H107" s="463">
        <v>11642</v>
      </c>
      <c r="I107" s="560">
        <v>705</v>
      </c>
      <c r="J107" s="543" t="s">
        <v>1</v>
      </c>
      <c r="K107" s="543">
        <v>8863</v>
      </c>
      <c r="L107" s="581"/>
      <c r="M107" s="463">
        <v>7627</v>
      </c>
      <c r="N107" s="463">
        <v>3946</v>
      </c>
      <c r="O107" s="463">
        <v>0</v>
      </c>
      <c r="P107" s="543" t="s">
        <v>1</v>
      </c>
      <c r="Q107" s="463"/>
      <c r="R107" s="118"/>
      <c r="S107" s="118"/>
      <c r="T107" s="118"/>
      <c r="U107" s="118"/>
      <c r="V107" s="118"/>
      <c r="W107" s="118"/>
      <c r="X107" s="463"/>
      <c r="Y107" s="463"/>
      <c r="Z107" s="463"/>
      <c r="AA107" s="463"/>
      <c r="AB107" s="463"/>
      <c r="AC107" s="463"/>
      <c r="AD107" s="463"/>
      <c r="AE107" s="463"/>
      <c r="AF107" s="463"/>
      <c r="AG107" s="463"/>
      <c r="AH107" s="463"/>
      <c r="AI107" s="463"/>
      <c r="AJ107" s="463"/>
      <c r="AK107" s="463"/>
      <c r="AL107" s="463"/>
      <c r="AM107" s="463"/>
      <c r="AN107" s="482"/>
      <c r="AO107" s="463"/>
      <c r="AP107" s="463"/>
      <c r="AQ107" s="463"/>
      <c r="AR107" s="463"/>
      <c r="AS107" s="463"/>
      <c r="AT107" s="463"/>
      <c r="AU107" s="463"/>
      <c r="AV107" s="463"/>
      <c r="AW107" s="463"/>
      <c r="AX107" s="463"/>
      <c r="AY107" s="463"/>
      <c r="AZ107" s="463"/>
    </row>
    <row r="108" spans="1:52" s="4" customFormat="1" x14ac:dyDescent="0.2">
      <c r="A108" s="376">
        <v>17150</v>
      </c>
      <c r="B108" s="376" t="s">
        <v>237</v>
      </c>
      <c r="C108" s="376" t="s">
        <v>127</v>
      </c>
      <c r="D108" s="404" t="s">
        <v>4</v>
      </c>
      <c r="E108" s="472"/>
      <c r="F108" s="369"/>
      <c r="G108" s="463">
        <v>227312</v>
      </c>
      <c r="H108" s="463">
        <v>94814</v>
      </c>
      <c r="I108" s="560">
        <v>456.3</v>
      </c>
      <c r="J108" s="543" t="s">
        <v>1</v>
      </c>
      <c r="K108" s="543">
        <v>83738</v>
      </c>
      <c r="L108" s="581"/>
      <c r="M108" s="463">
        <v>83738</v>
      </c>
      <c r="N108" s="463">
        <v>83738</v>
      </c>
      <c r="O108" s="463">
        <v>0</v>
      </c>
      <c r="P108" s="543" t="s">
        <v>1</v>
      </c>
      <c r="Q108" s="463"/>
      <c r="R108" s="118"/>
      <c r="S108" s="118"/>
      <c r="T108" s="118"/>
      <c r="U108" s="118"/>
      <c r="V108" s="118"/>
      <c r="W108" s="118"/>
      <c r="X108" s="463"/>
      <c r="Y108" s="463"/>
      <c r="Z108" s="463"/>
      <c r="AA108" s="463"/>
      <c r="AB108" s="463"/>
      <c r="AC108" s="463"/>
      <c r="AD108" s="463"/>
      <c r="AE108" s="463"/>
      <c r="AF108" s="463"/>
      <c r="AG108" s="463"/>
      <c r="AH108" s="463"/>
      <c r="AI108" s="463"/>
      <c r="AJ108" s="463"/>
      <c r="AK108" s="463"/>
      <c r="AL108" s="463"/>
      <c r="AM108" s="463"/>
      <c r="AN108" s="482"/>
      <c r="AO108" s="463"/>
      <c r="AP108" s="463"/>
      <c r="AQ108" s="463"/>
      <c r="AR108" s="463"/>
      <c r="AS108" s="463"/>
      <c r="AT108" s="463"/>
      <c r="AU108" s="463"/>
      <c r="AV108" s="463"/>
      <c r="AW108" s="463"/>
      <c r="AX108" s="463"/>
      <c r="AY108" s="463"/>
      <c r="AZ108" s="463"/>
    </row>
    <row r="109" spans="1:52" s="4" customFormat="1" x14ac:dyDescent="0.2">
      <c r="A109" s="376">
        <v>17200</v>
      </c>
      <c r="B109" s="376" t="s">
        <v>238</v>
      </c>
      <c r="C109" s="376" t="s">
        <v>127</v>
      </c>
      <c r="D109" s="404" t="s">
        <v>4</v>
      </c>
      <c r="E109" s="472"/>
      <c r="F109" s="369"/>
      <c r="G109" s="463">
        <v>210931</v>
      </c>
      <c r="H109" s="463">
        <v>118454</v>
      </c>
      <c r="I109" s="560">
        <v>411</v>
      </c>
      <c r="J109" s="543" t="s">
        <v>1</v>
      </c>
      <c r="K109" s="543">
        <v>106471</v>
      </c>
      <c r="L109" s="581" t="s">
        <v>1</v>
      </c>
      <c r="M109" s="463">
        <v>106471</v>
      </c>
      <c r="N109" s="463">
        <v>9083</v>
      </c>
      <c r="O109" s="463">
        <v>0</v>
      </c>
      <c r="P109" s="543" t="s">
        <v>1</v>
      </c>
      <c r="Q109" s="463"/>
      <c r="R109" s="118"/>
      <c r="S109" s="118"/>
      <c r="T109" s="118"/>
      <c r="U109" s="118"/>
      <c r="V109" s="118"/>
      <c r="W109" s="118"/>
      <c r="X109" s="463"/>
      <c r="Y109" s="463"/>
      <c r="Z109" s="463"/>
      <c r="AA109" s="463"/>
      <c r="AB109" s="463"/>
      <c r="AC109" s="463"/>
      <c r="AD109" s="463"/>
      <c r="AE109" s="463"/>
      <c r="AF109" s="463"/>
      <c r="AG109" s="463"/>
      <c r="AH109" s="463"/>
      <c r="AI109" s="463"/>
      <c r="AJ109" s="463"/>
      <c r="AK109" s="463"/>
      <c r="AL109" s="463"/>
      <c r="AM109" s="463"/>
      <c r="AN109" s="482"/>
      <c r="AO109" s="463"/>
      <c r="AP109" s="463"/>
      <c r="AQ109" s="463"/>
      <c r="AR109" s="463"/>
      <c r="AS109" s="463"/>
      <c r="AT109" s="463"/>
      <c r="AU109" s="463"/>
      <c r="AV109" s="463"/>
      <c r="AW109" s="463"/>
      <c r="AX109" s="463"/>
      <c r="AY109" s="463"/>
      <c r="AZ109" s="463"/>
    </row>
    <row r="110" spans="1:52" s="4" customFormat="1" x14ac:dyDescent="0.2">
      <c r="A110" s="376">
        <v>17310</v>
      </c>
      <c r="B110" s="376" t="s">
        <v>239</v>
      </c>
      <c r="C110" s="376" t="s">
        <v>125</v>
      </c>
      <c r="D110" s="404" t="s">
        <v>2</v>
      </c>
      <c r="E110" s="472"/>
      <c r="F110" s="369"/>
      <c r="G110" s="463">
        <v>61800</v>
      </c>
      <c r="H110" s="463">
        <v>23846</v>
      </c>
      <c r="I110" s="560">
        <v>295</v>
      </c>
      <c r="J110" s="543" t="s">
        <v>1</v>
      </c>
      <c r="K110" s="543">
        <v>25354</v>
      </c>
      <c r="L110" s="581"/>
      <c r="M110" s="463">
        <v>23846</v>
      </c>
      <c r="N110" s="463">
        <v>22338</v>
      </c>
      <c r="O110" s="463">
        <v>0</v>
      </c>
      <c r="P110" s="543" t="s">
        <v>1</v>
      </c>
      <c r="Q110" s="543" t="s">
        <v>1</v>
      </c>
      <c r="R110" s="118" t="s">
        <v>476</v>
      </c>
      <c r="S110" s="118" t="s">
        <v>544</v>
      </c>
      <c r="T110" s="118" t="s">
        <v>597</v>
      </c>
      <c r="U110" s="118" t="s">
        <v>639</v>
      </c>
      <c r="V110" s="118" t="s">
        <v>669</v>
      </c>
      <c r="W110" s="118" t="s">
        <v>692</v>
      </c>
      <c r="X110" s="463"/>
      <c r="Y110" s="463"/>
      <c r="Z110" s="463"/>
      <c r="AA110" s="463"/>
      <c r="AB110" s="463"/>
      <c r="AC110" s="463"/>
      <c r="AD110" s="463"/>
      <c r="AE110" s="463"/>
      <c r="AF110" s="463"/>
      <c r="AG110" s="463"/>
      <c r="AH110" s="463"/>
      <c r="AI110" s="463"/>
      <c r="AJ110" s="463"/>
      <c r="AK110" s="463"/>
      <c r="AL110" s="463"/>
      <c r="AM110" s="463"/>
      <c r="AN110" s="482"/>
      <c r="AO110" s="463"/>
      <c r="AP110" s="463"/>
      <c r="AQ110" s="463"/>
      <c r="AR110" s="463"/>
      <c r="AS110" s="463"/>
      <c r="AT110" s="463"/>
      <c r="AU110" s="463"/>
      <c r="AV110" s="463"/>
      <c r="AW110" s="463"/>
      <c r="AX110" s="463"/>
      <c r="AY110" s="463"/>
      <c r="AZ110" s="463"/>
    </row>
    <row r="111" spans="1:52" s="4" customFormat="1" x14ac:dyDescent="0.2">
      <c r="A111" s="376">
        <v>17350</v>
      </c>
      <c r="B111" s="376" t="s">
        <v>240</v>
      </c>
      <c r="C111" s="376" t="s">
        <v>142</v>
      </c>
      <c r="D111" s="404" t="s">
        <v>2</v>
      </c>
      <c r="E111" s="472"/>
      <c r="F111" s="369"/>
      <c r="G111" s="463">
        <v>6088</v>
      </c>
      <c r="H111" s="463">
        <v>3689</v>
      </c>
      <c r="I111" s="560">
        <v>212</v>
      </c>
      <c r="J111" s="543" t="s">
        <v>1</v>
      </c>
      <c r="K111" s="543">
        <v>2198</v>
      </c>
      <c r="L111" s="581"/>
      <c r="M111" s="463">
        <v>0</v>
      </c>
      <c r="N111" s="463">
        <v>0</v>
      </c>
      <c r="O111" s="463">
        <v>0</v>
      </c>
      <c r="P111" s="543" t="s">
        <v>1</v>
      </c>
      <c r="Q111" s="543" t="s">
        <v>1</v>
      </c>
      <c r="R111" s="118" t="s">
        <v>477</v>
      </c>
      <c r="S111" s="118" t="s">
        <v>545</v>
      </c>
      <c r="T111" s="118"/>
      <c r="U111" s="118"/>
      <c r="V111" s="118"/>
      <c r="W111" s="118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3"/>
      <c r="AH111" s="463"/>
      <c r="AI111" s="463"/>
      <c r="AJ111" s="463"/>
      <c r="AK111" s="463"/>
      <c r="AL111" s="463"/>
      <c r="AM111" s="463"/>
      <c r="AN111" s="482"/>
      <c r="AO111" s="463"/>
      <c r="AP111" s="463"/>
      <c r="AQ111" s="463"/>
      <c r="AR111" s="463"/>
      <c r="AS111" s="463"/>
      <c r="AT111" s="463"/>
      <c r="AU111" s="463"/>
      <c r="AV111" s="463"/>
      <c r="AW111" s="463"/>
      <c r="AX111" s="463"/>
      <c r="AY111" s="463"/>
      <c r="AZ111" s="463"/>
    </row>
    <row r="112" spans="1:52" s="4" customFormat="1" x14ac:dyDescent="0.2">
      <c r="A112" s="376">
        <v>17400</v>
      </c>
      <c r="B112" s="376" t="s">
        <v>241</v>
      </c>
      <c r="C112" s="376" t="s">
        <v>125</v>
      </c>
      <c r="D112" s="404" t="s">
        <v>2</v>
      </c>
      <c r="E112" s="472"/>
      <c r="F112" s="369"/>
      <c r="G112" s="463">
        <v>7038</v>
      </c>
      <c r="H112" s="463">
        <v>4547</v>
      </c>
      <c r="I112" s="560">
        <v>327</v>
      </c>
      <c r="J112" s="543" t="s">
        <v>1</v>
      </c>
      <c r="K112" s="543">
        <v>2163</v>
      </c>
      <c r="L112" s="581"/>
      <c r="M112" s="463">
        <v>1934</v>
      </c>
      <c r="N112" s="463">
        <v>0</v>
      </c>
      <c r="O112" s="463">
        <v>0</v>
      </c>
      <c r="P112" s="463"/>
      <c r="Q112" s="543" t="s">
        <v>1</v>
      </c>
      <c r="R112" s="118" t="s">
        <v>478</v>
      </c>
      <c r="S112" s="118" t="s">
        <v>546</v>
      </c>
      <c r="T112" s="118" t="s">
        <v>598</v>
      </c>
      <c r="U112" s="118" t="s">
        <v>640</v>
      </c>
      <c r="V112" s="118" t="s">
        <v>670</v>
      </c>
      <c r="W112" s="118"/>
      <c r="X112" s="463"/>
      <c r="Y112" s="463"/>
      <c r="Z112" s="463"/>
      <c r="AA112" s="463"/>
      <c r="AB112" s="463"/>
      <c r="AC112" s="463"/>
      <c r="AD112" s="463"/>
      <c r="AE112" s="463"/>
      <c r="AF112" s="463"/>
      <c r="AG112" s="463"/>
      <c r="AH112" s="463"/>
      <c r="AI112" s="463"/>
      <c r="AJ112" s="463"/>
      <c r="AK112" s="463"/>
      <c r="AL112" s="463"/>
      <c r="AM112" s="463"/>
      <c r="AN112" s="482"/>
      <c r="AO112" s="463"/>
      <c r="AP112" s="463"/>
      <c r="AQ112" s="463"/>
      <c r="AR112" s="463"/>
      <c r="AS112" s="463"/>
      <c r="AT112" s="463"/>
      <c r="AU112" s="463"/>
      <c r="AV112" s="463"/>
      <c r="AW112" s="463"/>
      <c r="AX112" s="463"/>
      <c r="AY112" s="463"/>
      <c r="AZ112" s="463"/>
    </row>
    <row r="113" spans="1:52" s="4" customFormat="1" x14ac:dyDescent="0.2">
      <c r="A113" s="376">
        <v>17420</v>
      </c>
      <c r="B113" s="376" t="s">
        <v>136</v>
      </c>
      <c r="C113" s="376" t="s">
        <v>129</v>
      </c>
      <c r="D113" s="404" t="s">
        <v>4</v>
      </c>
      <c r="E113" s="472"/>
      <c r="F113" s="369"/>
      <c r="G113" s="463">
        <v>164802</v>
      </c>
      <c r="H113" s="463">
        <v>52761</v>
      </c>
      <c r="I113" s="560">
        <v>405</v>
      </c>
      <c r="J113" s="543" t="s">
        <v>1</v>
      </c>
      <c r="K113" s="543">
        <v>48233</v>
      </c>
      <c r="L113" s="581"/>
      <c r="M113" s="463">
        <v>53378</v>
      </c>
      <c r="N113" s="463">
        <v>42526</v>
      </c>
      <c r="O113" s="463">
        <v>0</v>
      </c>
      <c r="P113" s="543" t="s">
        <v>1</v>
      </c>
      <c r="Q113" s="543" t="s">
        <v>1</v>
      </c>
      <c r="R113" s="118" t="s">
        <v>479</v>
      </c>
      <c r="S113" s="118"/>
      <c r="T113" s="118"/>
      <c r="U113" s="118"/>
      <c r="V113" s="118"/>
      <c r="W113" s="118"/>
      <c r="X113" s="463"/>
      <c r="Y113" s="463"/>
      <c r="Z113" s="463"/>
      <c r="AA113" s="463"/>
      <c r="AB113" s="463"/>
      <c r="AC113" s="463"/>
      <c r="AD113" s="463"/>
      <c r="AE113" s="463"/>
      <c r="AF113" s="463"/>
      <c r="AG113" s="463"/>
      <c r="AH113" s="463"/>
      <c r="AI113" s="463"/>
      <c r="AJ113" s="463"/>
      <c r="AK113" s="463"/>
      <c r="AL113" s="463"/>
      <c r="AM113" s="463"/>
      <c r="AN113" s="482"/>
      <c r="AO113" s="463"/>
      <c r="AP113" s="463"/>
      <c r="AQ113" s="463"/>
      <c r="AR113" s="463"/>
      <c r="AS113" s="463"/>
      <c r="AT113" s="463"/>
      <c r="AU113" s="463"/>
      <c r="AV113" s="463"/>
      <c r="AW113" s="463"/>
      <c r="AX113" s="463"/>
      <c r="AY113" s="463"/>
      <c r="AZ113" s="463"/>
    </row>
    <row r="114" spans="1:52" s="4" customFormat="1" x14ac:dyDescent="0.2">
      <c r="A114" s="376">
        <v>17550</v>
      </c>
      <c r="B114" s="376" t="s">
        <v>243</v>
      </c>
      <c r="C114" s="376" t="s">
        <v>131</v>
      </c>
      <c r="D114" s="404" t="s">
        <v>5</v>
      </c>
      <c r="E114" s="472"/>
      <c r="F114" s="369"/>
      <c r="G114" s="463">
        <v>94011</v>
      </c>
      <c r="H114" s="463">
        <v>36870</v>
      </c>
      <c r="I114" s="560">
        <v>440.3</v>
      </c>
      <c r="J114" s="543" t="s">
        <v>1</v>
      </c>
      <c r="K114" s="543">
        <v>34468</v>
      </c>
      <c r="L114" s="581"/>
      <c r="M114" s="463">
        <v>36242</v>
      </c>
      <c r="N114" s="463">
        <v>17996</v>
      </c>
      <c r="O114" s="463">
        <v>0</v>
      </c>
      <c r="P114" s="543" t="s">
        <v>1</v>
      </c>
      <c r="Q114" s="543" t="s">
        <v>1</v>
      </c>
      <c r="R114" s="118" t="s">
        <v>480</v>
      </c>
      <c r="S114" s="118"/>
      <c r="T114" s="118"/>
      <c r="U114" s="118"/>
      <c r="V114" s="118"/>
      <c r="W114" s="118"/>
      <c r="X114" s="463"/>
      <c r="Y114" s="463"/>
      <c r="Z114" s="463"/>
      <c r="AA114" s="463"/>
      <c r="AB114" s="463"/>
      <c r="AC114" s="463"/>
      <c r="AD114" s="463"/>
      <c r="AE114" s="463"/>
      <c r="AF114" s="463"/>
      <c r="AG114" s="463"/>
      <c r="AH114" s="463"/>
      <c r="AI114" s="463"/>
      <c r="AJ114" s="463"/>
      <c r="AK114" s="463"/>
      <c r="AL114" s="463"/>
      <c r="AM114" s="463"/>
      <c r="AN114" s="482"/>
      <c r="AO114" s="463"/>
      <c r="AP114" s="463"/>
      <c r="AQ114" s="463"/>
      <c r="AR114" s="463"/>
      <c r="AS114" s="463"/>
      <c r="AT114" s="463"/>
      <c r="AU114" s="463"/>
      <c r="AV114" s="463"/>
      <c r="AW114" s="463"/>
      <c r="AX114" s="463"/>
      <c r="AY114" s="463"/>
      <c r="AZ114" s="463"/>
    </row>
    <row r="115" spans="1:52" s="4" customFormat="1" x14ac:dyDescent="0.2">
      <c r="A115" s="376">
        <v>17620</v>
      </c>
      <c r="B115" s="376" t="s">
        <v>244</v>
      </c>
      <c r="C115" s="376" t="s">
        <v>163</v>
      </c>
      <c r="D115" s="404" t="s">
        <v>5</v>
      </c>
      <c r="E115" s="472"/>
      <c r="F115" s="369"/>
      <c r="G115" s="463">
        <v>14522</v>
      </c>
      <c r="H115" s="463">
        <v>4401</v>
      </c>
      <c r="I115" s="560">
        <v>430.6</v>
      </c>
      <c r="J115" s="543" t="s">
        <v>1</v>
      </c>
      <c r="K115" s="543">
        <v>4707</v>
      </c>
      <c r="L115" s="581"/>
      <c r="M115" s="463">
        <v>4707</v>
      </c>
      <c r="N115" s="463">
        <v>0</v>
      </c>
      <c r="O115" s="463">
        <v>0</v>
      </c>
      <c r="P115" s="543" t="s">
        <v>1</v>
      </c>
      <c r="Q115" s="543" t="s">
        <v>1</v>
      </c>
      <c r="R115" s="118" t="s">
        <v>481</v>
      </c>
      <c r="S115" s="118" t="s">
        <v>547</v>
      </c>
      <c r="T115" s="118" t="s">
        <v>599</v>
      </c>
      <c r="U115" s="118" t="s">
        <v>641</v>
      </c>
      <c r="V115" s="118"/>
      <c r="W115" s="118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3"/>
      <c r="AH115" s="463"/>
      <c r="AI115" s="463"/>
      <c r="AJ115" s="463"/>
      <c r="AK115" s="463"/>
      <c r="AL115" s="463"/>
      <c r="AM115" s="463"/>
      <c r="AN115" s="482"/>
      <c r="AO115" s="463"/>
      <c r="AP115" s="463"/>
      <c r="AQ115" s="463"/>
      <c r="AR115" s="463"/>
      <c r="AS115" s="463"/>
      <c r="AT115" s="463"/>
      <c r="AU115" s="463"/>
      <c r="AV115" s="463"/>
      <c r="AW115" s="463"/>
      <c r="AX115" s="463"/>
      <c r="AY115" s="463"/>
      <c r="AZ115" s="463"/>
    </row>
    <row r="116" spans="1:52" s="4" customFormat="1" x14ac:dyDescent="0.2">
      <c r="A116" s="376">
        <v>17640</v>
      </c>
      <c r="B116" s="376" t="s">
        <v>245</v>
      </c>
      <c r="C116" s="376" t="s">
        <v>137</v>
      </c>
      <c r="D116" s="404" t="s">
        <v>2</v>
      </c>
      <c r="E116" s="472"/>
      <c r="F116" s="369"/>
      <c r="G116" s="463">
        <v>7794</v>
      </c>
      <c r="H116" s="463">
        <v>2440</v>
      </c>
      <c r="I116" s="560">
        <v>417</v>
      </c>
      <c r="J116" s="543" t="s">
        <v>1</v>
      </c>
      <c r="K116" s="543">
        <v>1995</v>
      </c>
      <c r="L116" s="581"/>
      <c r="M116" s="463">
        <v>1995</v>
      </c>
      <c r="N116" s="463">
        <v>0</v>
      </c>
      <c r="O116" s="463">
        <v>0</v>
      </c>
      <c r="P116" s="463"/>
      <c r="Q116" s="543" t="s">
        <v>1</v>
      </c>
      <c r="R116" s="118" t="s">
        <v>482</v>
      </c>
      <c r="S116" s="118" t="s">
        <v>548</v>
      </c>
      <c r="T116" s="118" t="s">
        <v>600</v>
      </c>
      <c r="U116" s="118" t="s">
        <v>642</v>
      </c>
      <c r="V116" s="118" t="s">
        <v>671</v>
      </c>
      <c r="W116" s="118" t="s">
        <v>693</v>
      </c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3"/>
      <c r="AH116" s="463"/>
      <c r="AI116" s="463"/>
      <c r="AJ116" s="463"/>
      <c r="AK116" s="463"/>
      <c r="AL116" s="463"/>
      <c r="AM116" s="463"/>
      <c r="AN116" s="482"/>
      <c r="AO116" s="463"/>
      <c r="AP116" s="463"/>
      <c r="AQ116" s="463"/>
      <c r="AR116" s="463"/>
      <c r="AS116" s="463"/>
      <c r="AT116" s="463"/>
      <c r="AU116" s="463"/>
      <c r="AV116" s="463"/>
      <c r="AW116" s="463"/>
      <c r="AX116" s="463"/>
      <c r="AY116" s="463"/>
      <c r="AZ116" s="463"/>
    </row>
    <row r="117" spans="1:52" s="4" customFormat="1" x14ac:dyDescent="0.2">
      <c r="A117" s="376">
        <v>17650</v>
      </c>
      <c r="B117" s="376" t="s">
        <v>246</v>
      </c>
      <c r="C117" s="376" t="s">
        <v>125</v>
      </c>
      <c r="D117" s="404" t="s">
        <v>2</v>
      </c>
      <c r="E117" s="472"/>
      <c r="F117" s="369"/>
      <c r="G117" s="463">
        <v>6376</v>
      </c>
      <c r="H117" s="463">
        <v>2780</v>
      </c>
      <c r="I117" s="560">
        <v>315</v>
      </c>
      <c r="J117" s="543" t="s">
        <v>1</v>
      </c>
      <c r="K117" s="543">
        <v>1701</v>
      </c>
      <c r="L117" s="581"/>
      <c r="M117" s="463">
        <v>1696</v>
      </c>
      <c r="N117" s="463">
        <v>80</v>
      </c>
      <c r="O117" s="463">
        <v>0</v>
      </c>
      <c r="P117" s="463"/>
      <c r="Q117" s="463"/>
      <c r="R117" s="118"/>
      <c r="S117" s="118"/>
      <c r="T117" s="118"/>
      <c r="U117" s="118"/>
      <c r="V117" s="118"/>
      <c r="W117" s="118"/>
      <c r="X117" s="463"/>
      <c r="Y117" s="463"/>
      <c r="Z117" s="463"/>
      <c r="AA117" s="463"/>
      <c r="AB117" s="463"/>
      <c r="AC117" s="463"/>
      <c r="AD117" s="463"/>
      <c r="AE117" s="463"/>
      <c r="AF117" s="463"/>
      <c r="AG117" s="463"/>
      <c r="AH117" s="463"/>
      <c r="AI117" s="463"/>
      <c r="AJ117" s="463"/>
      <c r="AK117" s="463"/>
      <c r="AL117" s="463"/>
      <c r="AM117" s="463"/>
      <c r="AN117" s="482"/>
      <c r="AO117" s="463"/>
      <c r="AP117" s="463"/>
      <c r="AQ117" s="463"/>
      <c r="AR117" s="463"/>
      <c r="AS117" s="463"/>
      <c r="AT117" s="463"/>
      <c r="AU117" s="463"/>
      <c r="AV117" s="463"/>
      <c r="AW117" s="463"/>
      <c r="AX117" s="463"/>
      <c r="AY117" s="463"/>
      <c r="AZ117" s="463"/>
    </row>
    <row r="118" spans="1:52" s="4" customFormat="1" x14ac:dyDescent="0.2">
      <c r="A118" s="376">
        <v>17750</v>
      </c>
      <c r="B118" s="376" t="s">
        <v>247</v>
      </c>
      <c r="C118" s="376" t="s">
        <v>142</v>
      </c>
      <c r="D118" s="404" t="s">
        <v>2</v>
      </c>
      <c r="E118" s="472"/>
      <c r="F118" s="369"/>
      <c r="G118" s="463">
        <v>64272</v>
      </c>
      <c r="H118" s="463">
        <v>24260</v>
      </c>
      <c r="I118" s="560">
        <v>303</v>
      </c>
      <c r="J118" s="543" t="s">
        <v>1</v>
      </c>
      <c r="K118" s="543">
        <v>24260</v>
      </c>
      <c r="L118" s="581"/>
      <c r="M118" s="463">
        <v>24283</v>
      </c>
      <c r="N118" s="463">
        <v>23503</v>
      </c>
      <c r="O118" s="463">
        <v>0</v>
      </c>
      <c r="P118" s="463"/>
      <c r="Q118" s="543" t="s">
        <v>1</v>
      </c>
      <c r="R118" s="118" t="s">
        <v>483</v>
      </c>
      <c r="S118" s="118" t="s">
        <v>549</v>
      </c>
      <c r="T118" s="118"/>
      <c r="U118" s="118"/>
      <c r="V118" s="118"/>
      <c r="W118" s="118"/>
      <c r="X118" s="463"/>
      <c r="Y118" s="463"/>
      <c r="Z118" s="463"/>
      <c r="AA118" s="463"/>
      <c r="AB118" s="463"/>
      <c r="AC118" s="463"/>
      <c r="AD118" s="463"/>
      <c r="AE118" s="463"/>
      <c r="AF118" s="463"/>
      <c r="AG118" s="463"/>
      <c r="AH118" s="463"/>
      <c r="AI118" s="463"/>
      <c r="AJ118" s="463"/>
      <c r="AK118" s="463"/>
      <c r="AL118" s="463"/>
      <c r="AM118" s="463"/>
      <c r="AN118" s="482"/>
      <c r="AO118" s="463"/>
      <c r="AP118" s="463"/>
      <c r="AQ118" s="463"/>
      <c r="AR118" s="463"/>
      <c r="AS118" s="463"/>
      <c r="AT118" s="463"/>
      <c r="AU118" s="463"/>
      <c r="AV118" s="463"/>
      <c r="AW118" s="463"/>
      <c r="AX118" s="463"/>
      <c r="AY118" s="463"/>
      <c r="AZ118" s="463"/>
    </row>
    <row r="119" spans="1:52" s="4" customFormat="1" x14ac:dyDescent="0.2">
      <c r="A119" s="376">
        <v>17850</v>
      </c>
      <c r="B119" s="376" t="s">
        <v>248</v>
      </c>
      <c r="C119" s="376" t="s">
        <v>125</v>
      </c>
      <c r="D119" s="404" t="s">
        <v>2</v>
      </c>
      <c r="E119" s="472"/>
      <c r="F119" s="369"/>
      <c r="G119" s="463">
        <v>3054</v>
      </c>
      <c r="H119" s="463">
        <v>741</v>
      </c>
      <c r="I119" s="560">
        <v>474</v>
      </c>
      <c r="J119" s="543" t="s">
        <v>1</v>
      </c>
      <c r="K119" s="543">
        <v>741</v>
      </c>
      <c r="L119" s="581"/>
      <c r="M119" s="463">
        <v>741</v>
      </c>
      <c r="N119" s="463">
        <v>741</v>
      </c>
      <c r="O119" s="463">
        <v>0</v>
      </c>
      <c r="P119" s="463"/>
      <c r="Q119" s="543" t="s">
        <v>1</v>
      </c>
      <c r="R119" s="118" t="s">
        <v>484</v>
      </c>
      <c r="S119" s="118" t="s">
        <v>550</v>
      </c>
      <c r="T119" s="118" t="s">
        <v>601</v>
      </c>
      <c r="U119" s="118"/>
      <c r="V119" s="118"/>
      <c r="W119" s="118"/>
      <c r="X119" s="463"/>
      <c r="Y119" s="463"/>
      <c r="Z119" s="463"/>
      <c r="AA119" s="463"/>
      <c r="AB119" s="463"/>
      <c r="AC119" s="463"/>
      <c r="AD119" s="463"/>
      <c r="AE119" s="463"/>
      <c r="AF119" s="463"/>
      <c r="AG119" s="463"/>
      <c r="AH119" s="463"/>
      <c r="AI119" s="463"/>
      <c r="AJ119" s="463"/>
      <c r="AK119" s="463"/>
      <c r="AL119" s="463"/>
      <c r="AM119" s="463"/>
      <c r="AN119" s="482"/>
      <c r="AO119" s="463"/>
      <c r="AP119" s="463"/>
      <c r="AQ119" s="463"/>
      <c r="AR119" s="463"/>
      <c r="AS119" s="463"/>
      <c r="AT119" s="463"/>
      <c r="AU119" s="463"/>
      <c r="AV119" s="463"/>
      <c r="AW119" s="463"/>
      <c r="AX119" s="463"/>
      <c r="AY119" s="463"/>
      <c r="AZ119" s="463"/>
    </row>
    <row r="120" spans="1:52" s="4" customFormat="1" x14ac:dyDescent="0.2">
      <c r="A120" s="376">
        <v>17900</v>
      </c>
      <c r="B120" s="376" t="s">
        <v>249</v>
      </c>
      <c r="C120" s="376" t="s">
        <v>293</v>
      </c>
      <c r="D120" s="404" t="s">
        <v>2</v>
      </c>
      <c r="E120" s="472"/>
      <c r="F120" s="369"/>
      <c r="G120" s="463">
        <v>6750</v>
      </c>
      <c r="H120" s="463">
        <v>3634</v>
      </c>
      <c r="I120" s="560">
        <v>461</v>
      </c>
      <c r="J120" s="543" t="s">
        <v>1</v>
      </c>
      <c r="K120" s="543">
        <v>3634</v>
      </c>
      <c r="L120" s="581"/>
      <c r="M120" s="463">
        <v>0</v>
      </c>
      <c r="N120" s="463">
        <v>0</v>
      </c>
      <c r="O120" s="463">
        <v>0</v>
      </c>
      <c r="P120" s="463"/>
      <c r="Q120" s="543" t="s">
        <v>1</v>
      </c>
      <c r="R120" s="118" t="s">
        <v>485</v>
      </c>
      <c r="S120" s="118" t="s">
        <v>551</v>
      </c>
      <c r="T120" s="118" t="s">
        <v>602</v>
      </c>
      <c r="U120" s="118" t="s">
        <v>643</v>
      </c>
      <c r="V120" s="118" t="s">
        <v>672</v>
      </c>
      <c r="W120" s="118" t="s">
        <v>679</v>
      </c>
      <c r="X120" s="463"/>
      <c r="Y120" s="463"/>
      <c r="Z120" s="463"/>
      <c r="AA120" s="463"/>
      <c r="AB120" s="463"/>
      <c r="AC120" s="463"/>
      <c r="AD120" s="463"/>
      <c r="AE120" s="463"/>
      <c r="AF120" s="463"/>
      <c r="AG120" s="463"/>
      <c r="AH120" s="463"/>
      <c r="AI120" s="463"/>
      <c r="AJ120" s="463"/>
      <c r="AK120" s="463"/>
      <c r="AL120" s="463"/>
      <c r="AM120" s="463"/>
      <c r="AN120" s="482"/>
      <c r="AO120" s="463"/>
      <c r="AP120" s="463"/>
      <c r="AQ120" s="463"/>
      <c r="AR120" s="463"/>
      <c r="AS120" s="463"/>
      <c r="AT120" s="463"/>
      <c r="AU120" s="463"/>
      <c r="AV120" s="463"/>
      <c r="AW120" s="463"/>
      <c r="AX120" s="463"/>
      <c r="AY120" s="463"/>
      <c r="AZ120" s="463"/>
    </row>
    <row r="121" spans="1:52" s="4" customFormat="1" x14ac:dyDescent="0.2">
      <c r="A121" s="376">
        <v>17950</v>
      </c>
      <c r="B121" s="376" t="s">
        <v>250</v>
      </c>
      <c r="C121" s="376" t="s">
        <v>293</v>
      </c>
      <c r="D121" s="404" t="s">
        <v>2</v>
      </c>
      <c r="E121" s="472"/>
      <c r="F121" s="369"/>
      <c r="G121" s="463">
        <v>2901</v>
      </c>
      <c r="H121" s="463">
        <v>777</v>
      </c>
      <c r="I121" s="560">
        <v>240</v>
      </c>
      <c r="J121" s="543" t="s">
        <v>1</v>
      </c>
      <c r="K121" s="543">
        <v>759</v>
      </c>
      <c r="L121" s="581"/>
      <c r="M121" s="463">
        <v>0</v>
      </c>
      <c r="N121" s="463">
        <v>0</v>
      </c>
      <c r="O121" s="463">
        <v>0</v>
      </c>
      <c r="P121" s="463"/>
      <c r="Q121" s="543" t="s">
        <v>1</v>
      </c>
      <c r="R121" s="118" t="s">
        <v>486</v>
      </c>
      <c r="S121" s="118"/>
      <c r="T121" s="118"/>
      <c r="U121" s="118"/>
      <c r="V121" s="118"/>
      <c r="W121" s="118"/>
      <c r="X121" s="463"/>
      <c r="Y121" s="463"/>
      <c r="Z121" s="463"/>
      <c r="AA121" s="463"/>
      <c r="AB121" s="463"/>
      <c r="AC121" s="463"/>
      <c r="AD121" s="463"/>
      <c r="AE121" s="463"/>
      <c r="AF121" s="463"/>
      <c r="AG121" s="463"/>
      <c r="AH121" s="463"/>
      <c r="AI121" s="463"/>
      <c r="AJ121" s="463"/>
      <c r="AK121" s="463"/>
      <c r="AL121" s="463"/>
      <c r="AM121" s="463"/>
      <c r="AN121" s="482"/>
      <c r="AO121" s="463"/>
      <c r="AP121" s="463"/>
      <c r="AQ121" s="463"/>
      <c r="AR121" s="463"/>
      <c r="AS121" s="463"/>
      <c r="AT121" s="463"/>
      <c r="AU121" s="463"/>
      <c r="AV121" s="463"/>
      <c r="AW121" s="463"/>
      <c r="AX121" s="463"/>
      <c r="AY121" s="463"/>
      <c r="AZ121" s="463"/>
    </row>
    <row r="122" spans="1:52" s="4" customFormat="1" x14ac:dyDescent="0.2">
      <c r="A122" s="376">
        <v>18020</v>
      </c>
      <c r="B122" s="376" t="s">
        <v>251</v>
      </c>
      <c r="C122" s="376" t="s">
        <v>293</v>
      </c>
      <c r="D122" s="404" t="s">
        <v>2</v>
      </c>
      <c r="E122" s="472"/>
      <c r="F122" s="369"/>
      <c r="G122" s="463">
        <v>9688</v>
      </c>
      <c r="H122" s="463">
        <v>3520</v>
      </c>
      <c r="I122" s="560">
        <v>325</v>
      </c>
      <c r="J122" s="543" t="s">
        <v>1</v>
      </c>
      <c r="K122" s="543">
        <v>3420</v>
      </c>
      <c r="L122" s="581"/>
      <c r="M122" s="463">
        <v>3420</v>
      </c>
      <c r="N122" s="463">
        <v>0</v>
      </c>
      <c r="O122" s="463">
        <v>0</v>
      </c>
      <c r="P122" s="463"/>
      <c r="Q122" s="543" t="s">
        <v>1</v>
      </c>
      <c r="R122" s="118" t="s">
        <v>487</v>
      </c>
      <c r="S122" s="118" t="s">
        <v>552</v>
      </c>
      <c r="T122" s="118" t="s">
        <v>603</v>
      </c>
      <c r="U122" s="118" t="s">
        <v>644</v>
      </c>
      <c r="V122" s="118" t="s">
        <v>673</v>
      </c>
      <c r="W122" s="118" t="s">
        <v>694</v>
      </c>
      <c r="X122" s="463"/>
      <c r="Y122" s="463"/>
      <c r="Z122" s="463"/>
      <c r="AA122" s="463"/>
      <c r="AB122" s="463"/>
      <c r="AC122" s="463"/>
      <c r="AD122" s="463"/>
      <c r="AE122" s="463"/>
      <c r="AF122" s="463"/>
      <c r="AG122" s="463"/>
      <c r="AH122" s="463"/>
      <c r="AI122" s="463"/>
      <c r="AJ122" s="463"/>
      <c r="AK122" s="463"/>
      <c r="AL122" s="463"/>
      <c r="AM122" s="463"/>
      <c r="AN122" s="482"/>
      <c r="AO122" s="463"/>
      <c r="AP122" s="463"/>
      <c r="AQ122" s="463"/>
      <c r="AR122" s="463"/>
      <c r="AS122" s="463"/>
      <c r="AT122" s="463"/>
      <c r="AU122" s="463"/>
      <c r="AV122" s="463"/>
      <c r="AW122" s="463"/>
      <c r="AX122" s="463"/>
      <c r="AY122" s="463"/>
      <c r="AZ122" s="463"/>
    </row>
    <row r="123" spans="1:52" s="4" customFormat="1" x14ac:dyDescent="0.2">
      <c r="A123" s="376">
        <v>18050</v>
      </c>
      <c r="B123" s="376" t="s">
        <v>252</v>
      </c>
      <c r="C123" s="376" t="s">
        <v>127</v>
      </c>
      <c r="D123" s="404" t="s">
        <v>4</v>
      </c>
      <c r="E123" s="472"/>
      <c r="F123" s="369"/>
      <c r="G123" s="463">
        <v>73366</v>
      </c>
      <c r="H123" s="463">
        <v>29155</v>
      </c>
      <c r="I123" s="560">
        <v>500</v>
      </c>
      <c r="J123" s="543" t="s">
        <v>1</v>
      </c>
      <c r="K123" s="543">
        <v>29155</v>
      </c>
      <c r="L123" s="581"/>
      <c r="M123" s="463">
        <v>29155</v>
      </c>
      <c r="N123" s="463">
        <v>12220</v>
      </c>
      <c r="O123" s="463">
        <v>0</v>
      </c>
      <c r="P123" s="543" t="s">
        <v>1</v>
      </c>
      <c r="Q123" s="463"/>
      <c r="R123" s="118"/>
      <c r="S123" s="118"/>
      <c r="T123" s="118"/>
      <c r="U123" s="118"/>
      <c r="V123" s="118"/>
      <c r="W123" s="118"/>
      <c r="X123" s="463"/>
      <c r="Y123" s="463"/>
      <c r="Z123" s="463"/>
      <c r="AA123" s="463"/>
      <c r="AB123" s="463"/>
      <c r="AC123" s="463"/>
      <c r="AD123" s="463"/>
      <c r="AE123" s="463"/>
      <c r="AF123" s="463"/>
      <c r="AG123" s="463"/>
      <c r="AH123" s="463"/>
      <c r="AI123" s="463"/>
      <c r="AJ123" s="463"/>
      <c r="AK123" s="463"/>
      <c r="AL123" s="463"/>
      <c r="AM123" s="463"/>
      <c r="AN123" s="482"/>
      <c r="AO123" s="463"/>
      <c r="AP123" s="463"/>
      <c r="AQ123" s="463"/>
      <c r="AR123" s="463"/>
      <c r="AS123" s="463"/>
      <c r="AT123" s="463"/>
      <c r="AU123" s="463"/>
      <c r="AV123" s="463"/>
      <c r="AW123" s="463"/>
      <c r="AX123" s="463"/>
      <c r="AY123" s="463"/>
      <c r="AZ123" s="463"/>
    </row>
    <row r="124" spans="1:52" s="4" customFormat="1" x14ac:dyDescent="0.2">
      <c r="A124" s="376">
        <v>18100</v>
      </c>
      <c r="B124" s="376" t="s">
        <v>253</v>
      </c>
      <c r="C124" s="376" t="s">
        <v>293</v>
      </c>
      <c r="D124" s="404" t="s">
        <v>2</v>
      </c>
      <c r="E124" s="472"/>
      <c r="F124" s="369"/>
      <c r="G124" s="463">
        <v>3708</v>
      </c>
      <c r="H124" s="463">
        <v>1532</v>
      </c>
      <c r="I124" s="560">
        <v>183</v>
      </c>
      <c r="J124" s="543" t="s">
        <v>1</v>
      </c>
      <c r="K124" s="543">
        <v>1133</v>
      </c>
      <c r="L124" s="581"/>
      <c r="M124" s="463">
        <v>1133</v>
      </c>
      <c r="N124" s="463">
        <v>0</v>
      </c>
      <c r="O124" s="463">
        <v>0</v>
      </c>
      <c r="P124" s="463"/>
      <c r="Q124" s="543" t="s">
        <v>1</v>
      </c>
      <c r="R124" s="118" t="s">
        <v>488</v>
      </c>
      <c r="S124" s="118" t="s">
        <v>553</v>
      </c>
      <c r="T124" s="118" t="s">
        <v>604</v>
      </c>
      <c r="U124" s="118"/>
      <c r="V124" s="118"/>
      <c r="W124" s="118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3"/>
      <c r="AK124" s="463"/>
      <c r="AL124" s="463"/>
      <c r="AM124" s="463"/>
      <c r="AN124" s="482"/>
      <c r="AO124" s="463"/>
      <c r="AP124" s="463"/>
      <c r="AQ124" s="463"/>
      <c r="AR124" s="463"/>
      <c r="AS124" s="463"/>
      <c r="AT124" s="463"/>
      <c r="AU124" s="463"/>
      <c r="AV124" s="463"/>
      <c r="AW124" s="463"/>
      <c r="AX124" s="463"/>
      <c r="AY124" s="463"/>
      <c r="AZ124" s="463"/>
    </row>
    <row r="125" spans="1:52" s="4" customFormat="1" x14ac:dyDescent="0.2">
      <c r="A125" s="376">
        <v>18200</v>
      </c>
      <c r="B125" s="376" t="s">
        <v>254</v>
      </c>
      <c r="C125" s="376" t="s">
        <v>123</v>
      </c>
      <c r="D125" s="404" t="s">
        <v>2</v>
      </c>
      <c r="E125" s="472"/>
      <c r="F125" s="369"/>
      <c r="G125" s="463">
        <v>6962</v>
      </c>
      <c r="H125" s="463">
        <v>2705</v>
      </c>
      <c r="I125" s="560">
        <v>225</v>
      </c>
      <c r="J125" s="543" t="s">
        <v>1</v>
      </c>
      <c r="K125" s="543">
        <v>2880</v>
      </c>
      <c r="L125" s="581"/>
      <c r="M125" s="463">
        <v>0</v>
      </c>
      <c r="N125" s="463">
        <v>0</v>
      </c>
      <c r="O125" s="463">
        <v>0</v>
      </c>
      <c r="P125" s="543" t="s">
        <v>1</v>
      </c>
      <c r="Q125" s="543" t="s">
        <v>1</v>
      </c>
      <c r="R125" s="118" t="s">
        <v>489</v>
      </c>
      <c r="S125" s="118" t="s">
        <v>554</v>
      </c>
      <c r="T125" s="118" t="s">
        <v>605</v>
      </c>
      <c r="U125" s="118" t="s">
        <v>645</v>
      </c>
      <c r="V125" s="118" t="s">
        <v>674</v>
      </c>
      <c r="W125" s="118" t="s">
        <v>695</v>
      </c>
      <c r="X125" s="463"/>
      <c r="Y125" s="463"/>
      <c r="Z125" s="463"/>
      <c r="AA125" s="463"/>
      <c r="AB125" s="463"/>
      <c r="AC125" s="463"/>
      <c r="AD125" s="463"/>
      <c r="AE125" s="463"/>
      <c r="AF125" s="463"/>
      <c r="AG125" s="463"/>
      <c r="AH125" s="463"/>
      <c r="AI125" s="463"/>
      <c r="AJ125" s="463"/>
      <c r="AK125" s="463"/>
      <c r="AL125" s="463"/>
      <c r="AM125" s="463"/>
      <c r="AN125" s="482"/>
      <c r="AO125" s="463"/>
      <c r="AP125" s="463"/>
      <c r="AQ125" s="463"/>
      <c r="AR125" s="463"/>
      <c r="AS125" s="463"/>
      <c r="AT125" s="463"/>
      <c r="AU125" s="463"/>
      <c r="AV125" s="463"/>
      <c r="AW125" s="463"/>
      <c r="AX125" s="463"/>
      <c r="AY125" s="463"/>
      <c r="AZ125" s="463"/>
    </row>
    <row r="126" spans="1:52" s="4" customFormat="1" x14ac:dyDescent="0.2">
      <c r="A126" s="376">
        <v>18230</v>
      </c>
      <c r="B126" s="376" t="s">
        <v>290</v>
      </c>
      <c r="C126" s="376" t="s">
        <v>293</v>
      </c>
      <c r="D126" s="404" t="s">
        <v>2</v>
      </c>
      <c r="E126" s="472"/>
      <c r="F126" s="369"/>
      <c r="G126" s="463">
        <v>51449</v>
      </c>
      <c r="H126" s="463">
        <v>22045</v>
      </c>
      <c r="I126" s="560">
        <v>290.60000000000002</v>
      </c>
      <c r="J126" s="543" t="s">
        <v>1</v>
      </c>
      <c r="K126" s="543">
        <v>19165</v>
      </c>
      <c r="L126" s="581"/>
      <c r="M126" s="463">
        <v>19165</v>
      </c>
      <c r="N126" s="463">
        <v>0</v>
      </c>
      <c r="O126" s="463">
        <v>0</v>
      </c>
      <c r="P126" s="543" t="s">
        <v>1</v>
      </c>
      <c r="Q126" s="543" t="s">
        <v>1</v>
      </c>
      <c r="R126" s="118" t="s">
        <v>490</v>
      </c>
      <c r="S126" s="118" t="s">
        <v>555</v>
      </c>
      <c r="T126" s="118" t="s">
        <v>606</v>
      </c>
      <c r="U126" s="118" t="s">
        <v>646</v>
      </c>
      <c r="V126" s="118"/>
      <c r="W126" s="118"/>
      <c r="X126" s="463"/>
      <c r="Y126" s="463"/>
      <c r="Z126" s="463"/>
      <c r="AA126" s="463"/>
      <c r="AB126" s="463"/>
      <c r="AC126" s="463"/>
      <c r="AD126" s="463"/>
      <c r="AE126" s="463"/>
      <c r="AF126" s="463"/>
      <c r="AG126" s="463"/>
      <c r="AH126" s="463"/>
      <c r="AI126" s="463"/>
      <c r="AJ126" s="463"/>
      <c r="AK126" s="463"/>
      <c r="AL126" s="463"/>
      <c r="AM126" s="463"/>
      <c r="AN126" s="482"/>
      <c r="AO126" s="463"/>
      <c r="AP126" s="463"/>
      <c r="AQ126" s="463"/>
      <c r="AR126" s="463"/>
      <c r="AS126" s="463"/>
      <c r="AT126" s="463"/>
      <c r="AU126" s="463"/>
      <c r="AV126" s="463"/>
      <c r="AW126" s="463"/>
      <c r="AX126" s="463"/>
      <c r="AY126" s="463"/>
      <c r="AZ126" s="463"/>
    </row>
    <row r="127" spans="1:52" s="4" customFormat="1" x14ac:dyDescent="0.2">
      <c r="A127" s="376">
        <v>18250</v>
      </c>
      <c r="B127" s="376" t="s">
        <v>255</v>
      </c>
      <c r="C127" s="376" t="s">
        <v>190</v>
      </c>
      <c r="D127" s="404" t="s">
        <v>4</v>
      </c>
      <c r="E127" s="472"/>
      <c r="F127" s="369"/>
      <c r="G127" s="463">
        <v>77833</v>
      </c>
      <c r="H127" s="463">
        <v>28654</v>
      </c>
      <c r="I127" s="560">
        <v>515</v>
      </c>
      <c r="J127" s="543" t="s">
        <v>1</v>
      </c>
      <c r="K127" s="543">
        <v>32346</v>
      </c>
      <c r="L127" s="581"/>
      <c r="M127" s="463">
        <v>29845</v>
      </c>
      <c r="N127" s="463">
        <v>16171</v>
      </c>
      <c r="O127" s="463">
        <v>0</v>
      </c>
      <c r="P127" s="543" t="s">
        <v>1</v>
      </c>
      <c r="Q127" s="463"/>
      <c r="R127" s="118"/>
      <c r="S127" s="118"/>
      <c r="T127" s="118"/>
      <c r="U127" s="118"/>
      <c r="V127" s="118"/>
      <c r="W127" s="118"/>
      <c r="X127" s="463"/>
      <c r="Y127" s="463"/>
      <c r="Z127" s="463"/>
      <c r="AA127" s="463"/>
      <c r="AB127" s="463"/>
      <c r="AC127" s="463"/>
      <c r="AD127" s="463"/>
      <c r="AE127" s="463"/>
      <c r="AF127" s="463"/>
      <c r="AG127" s="463"/>
      <c r="AH127" s="463"/>
      <c r="AI127" s="463"/>
      <c r="AJ127" s="463"/>
      <c r="AK127" s="463"/>
      <c r="AL127" s="463"/>
      <c r="AM127" s="463"/>
      <c r="AN127" s="482"/>
      <c r="AO127" s="463"/>
      <c r="AP127" s="463"/>
      <c r="AQ127" s="463"/>
      <c r="AR127" s="463"/>
      <c r="AS127" s="463"/>
      <c r="AT127" s="463"/>
      <c r="AU127" s="463"/>
      <c r="AV127" s="463"/>
      <c r="AW127" s="463"/>
      <c r="AX127" s="463"/>
      <c r="AY127" s="463"/>
      <c r="AZ127" s="463"/>
    </row>
    <row r="128" spans="1:52" s="4" customFormat="1" x14ac:dyDescent="0.2">
      <c r="A128" s="376">
        <v>18350</v>
      </c>
      <c r="B128" s="376" t="s">
        <v>256</v>
      </c>
      <c r="C128" s="376" t="s">
        <v>291</v>
      </c>
      <c r="D128" s="404" t="s">
        <v>3</v>
      </c>
      <c r="E128" s="472"/>
      <c r="F128" s="369"/>
      <c r="G128" s="463">
        <v>48845</v>
      </c>
      <c r="H128" s="463">
        <v>18416</v>
      </c>
      <c r="I128" s="560">
        <v>412</v>
      </c>
      <c r="J128" s="543" t="s">
        <v>1</v>
      </c>
      <c r="K128" s="543">
        <v>18964</v>
      </c>
      <c r="L128" s="581"/>
      <c r="M128" s="463">
        <v>18943</v>
      </c>
      <c r="N128" s="463">
        <v>17745</v>
      </c>
      <c r="O128" s="463">
        <v>0</v>
      </c>
      <c r="P128" s="543" t="s">
        <v>1</v>
      </c>
      <c r="Q128" s="543" t="s">
        <v>1</v>
      </c>
      <c r="R128" s="118" t="s">
        <v>491</v>
      </c>
      <c r="S128" s="118"/>
      <c r="T128" s="118"/>
      <c r="U128" s="118"/>
      <c r="V128" s="118"/>
      <c r="W128" s="118"/>
      <c r="X128" s="463"/>
      <c r="Y128" s="463"/>
      <c r="Z128" s="463"/>
      <c r="AA128" s="463"/>
      <c r="AB128" s="463"/>
      <c r="AC128" s="463"/>
      <c r="AD128" s="463"/>
      <c r="AE128" s="463"/>
      <c r="AF128" s="463"/>
      <c r="AG128" s="463"/>
      <c r="AH128" s="463"/>
      <c r="AI128" s="463"/>
      <c r="AJ128" s="463"/>
      <c r="AK128" s="463"/>
      <c r="AL128" s="463"/>
      <c r="AM128" s="463"/>
      <c r="AN128" s="482"/>
      <c r="AO128" s="463"/>
      <c r="AP128" s="463"/>
      <c r="AQ128" s="463"/>
      <c r="AR128" s="463"/>
      <c r="AS128" s="463"/>
      <c r="AT128" s="463"/>
      <c r="AU128" s="463"/>
      <c r="AV128" s="463"/>
      <c r="AW128" s="463"/>
      <c r="AX128" s="463"/>
      <c r="AY128" s="463"/>
      <c r="AZ128" s="463"/>
    </row>
    <row r="129" spans="1:53" s="4" customFormat="1" x14ac:dyDescent="0.2">
      <c r="A129" s="376">
        <v>18400</v>
      </c>
      <c r="B129" s="376" t="s">
        <v>257</v>
      </c>
      <c r="C129" s="376" t="s">
        <v>156</v>
      </c>
      <c r="D129" s="404" t="s">
        <v>5</v>
      </c>
      <c r="E129" s="472"/>
      <c r="F129" s="369"/>
      <c r="G129" s="463">
        <v>49109</v>
      </c>
      <c r="H129" s="463">
        <v>16957</v>
      </c>
      <c r="I129" s="560">
        <v>513</v>
      </c>
      <c r="J129" s="543" t="s">
        <v>1</v>
      </c>
      <c r="K129" s="543">
        <v>17219</v>
      </c>
      <c r="L129" s="581"/>
      <c r="M129" s="463">
        <v>17056</v>
      </c>
      <c r="N129" s="463">
        <v>11869</v>
      </c>
      <c r="O129" s="463">
        <v>0</v>
      </c>
      <c r="P129" s="543" t="s">
        <v>1</v>
      </c>
      <c r="Q129" s="543" t="s">
        <v>1</v>
      </c>
      <c r="R129" s="118" t="s">
        <v>492</v>
      </c>
      <c r="S129" s="118"/>
      <c r="T129" s="118"/>
      <c r="U129" s="118"/>
      <c r="V129" s="118"/>
      <c r="W129" s="118"/>
      <c r="X129" s="463"/>
      <c r="Y129" s="463"/>
      <c r="Z129" s="463"/>
      <c r="AA129" s="463"/>
      <c r="AB129" s="463"/>
      <c r="AC129" s="463"/>
      <c r="AD129" s="463"/>
      <c r="AE129" s="463"/>
      <c r="AF129" s="463"/>
      <c r="AG129" s="463"/>
      <c r="AH129" s="463"/>
      <c r="AI129" s="463"/>
      <c r="AJ129" s="463"/>
      <c r="AK129" s="463"/>
      <c r="AL129" s="463"/>
      <c r="AM129" s="463"/>
      <c r="AN129" s="482"/>
      <c r="AO129" s="463"/>
      <c r="AP129" s="463"/>
      <c r="AQ129" s="463"/>
      <c r="AR129" s="463"/>
      <c r="AS129" s="463"/>
      <c r="AT129" s="463"/>
      <c r="AU129" s="463"/>
      <c r="AV129" s="463"/>
      <c r="AW129" s="463"/>
      <c r="AX129" s="463"/>
      <c r="AY129" s="463"/>
      <c r="AZ129" s="463"/>
    </row>
    <row r="130" spans="1:53" s="4" customFormat="1" x14ac:dyDescent="0.2">
      <c r="A130" s="376">
        <v>18450</v>
      </c>
      <c r="B130" s="376" t="s">
        <v>258</v>
      </c>
      <c r="C130" s="376" t="s">
        <v>291</v>
      </c>
      <c r="D130" s="404" t="s">
        <v>3</v>
      </c>
      <c r="E130" s="472"/>
      <c r="F130" s="369"/>
      <c r="G130" s="463">
        <v>211213</v>
      </c>
      <c r="H130" s="463">
        <v>82433</v>
      </c>
      <c r="I130" s="560">
        <v>399</v>
      </c>
      <c r="J130" s="543" t="s">
        <v>1</v>
      </c>
      <c r="K130" s="543">
        <v>82035</v>
      </c>
      <c r="L130" s="581"/>
      <c r="M130" s="463">
        <v>82035</v>
      </c>
      <c r="N130" s="463">
        <v>82035</v>
      </c>
      <c r="O130" s="463">
        <v>0</v>
      </c>
      <c r="P130" s="543" t="s">
        <v>1</v>
      </c>
      <c r="Q130" s="543" t="s">
        <v>1</v>
      </c>
      <c r="R130" s="118" t="s">
        <v>493</v>
      </c>
      <c r="S130" s="118"/>
      <c r="T130" s="118"/>
      <c r="U130" s="118"/>
      <c r="V130" s="118"/>
      <c r="W130" s="118"/>
      <c r="X130" s="463"/>
      <c r="Y130" s="463"/>
      <c r="Z130" s="463"/>
      <c r="AA130" s="463"/>
      <c r="AB130" s="463"/>
      <c r="AC130" s="463"/>
      <c r="AD130" s="463"/>
      <c r="AE130" s="463"/>
      <c r="AF130" s="463"/>
      <c r="AG130" s="463"/>
      <c r="AH130" s="463"/>
      <c r="AI130" s="463"/>
      <c r="AJ130" s="463"/>
      <c r="AK130" s="463"/>
      <c r="AL130" s="463"/>
      <c r="AM130" s="463"/>
      <c r="AN130" s="482"/>
      <c r="AO130" s="463"/>
      <c r="AP130" s="463"/>
      <c r="AQ130" s="463"/>
      <c r="AR130" s="463"/>
      <c r="AS130" s="463"/>
      <c r="AT130" s="463"/>
      <c r="AU130" s="463"/>
      <c r="AV130" s="463"/>
      <c r="AW130" s="463"/>
      <c r="AX130" s="463"/>
      <c r="AY130" s="463"/>
      <c r="AZ130" s="463"/>
    </row>
    <row r="131" spans="1:53" s="4" customFormat="1" x14ac:dyDescent="0.2">
      <c r="A131" s="376">
        <v>18500</v>
      </c>
      <c r="B131" s="376" t="s">
        <v>259</v>
      </c>
      <c r="C131" s="376" t="s">
        <v>127</v>
      </c>
      <c r="D131" s="404" t="s">
        <v>4</v>
      </c>
      <c r="E131" s="472"/>
      <c r="F131" s="369"/>
      <c r="G131" s="463">
        <v>59860</v>
      </c>
      <c r="H131" s="463">
        <v>24755</v>
      </c>
      <c r="I131" s="560">
        <v>508.5</v>
      </c>
      <c r="J131" s="543" t="s">
        <v>1</v>
      </c>
      <c r="K131" s="543">
        <v>24755</v>
      </c>
      <c r="L131" s="581"/>
      <c r="M131" s="463">
        <v>24755</v>
      </c>
      <c r="N131" s="463">
        <v>0</v>
      </c>
      <c r="O131" s="463">
        <v>24755</v>
      </c>
      <c r="P131" s="543" t="s">
        <v>1</v>
      </c>
      <c r="Q131" s="463"/>
      <c r="R131" s="118"/>
      <c r="S131" s="118"/>
      <c r="T131" s="118"/>
      <c r="U131" s="118"/>
      <c r="V131" s="118"/>
      <c r="W131" s="118"/>
      <c r="X131" s="463"/>
      <c r="Y131" s="463"/>
      <c r="Z131" s="463"/>
      <c r="AA131" s="463"/>
      <c r="AB131" s="463"/>
      <c r="AC131" s="463"/>
      <c r="AD131" s="463"/>
      <c r="AE131" s="463"/>
      <c r="AF131" s="463"/>
      <c r="AG131" s="463"/>
      <c r="AH131" s="463"/>
      <c r="AI131" s="463"/>
      <c r="AJ131" s="463"/>
      <c r="AK131" s="463"/>
      <c r="AL131" s="463"/>
      <c r="AM131" s="463"/>
      <c r="AN131" s="482"/>
      <c r="AO131" s="463"/>
      <c r="AP131" s="463"/>
      <c r="AQ131" s="463"/>
      <c r="AR131" s="463"/>
      <c r="AS131" s="463"/>
      <c r="AT131" s="463"/>
      <c r="AU131" s="463"/>
      <c r="AV131" s="463"/>
      <c r="AW131" s="463"/>
      <c r="AX131" s="463"/>
      <c r="AY131" s="463"/>
      <c r="AZ131" s="463"/>
    </row>
    <row r="132" spans="1:53" s="4" customFormat="1" ht="13.5" thickBot="1" x14ac:dyDescent="0.25">
      <c r="A132" s="376">
        <v>18710</v>
      </c>
      <c r="B132" s="376" t="s">
        <v>260</v>
      </c>
      <c r="C132" s="376" t="s">
        <v>137</v>
      </c>
      <c r="D132" s="404" t="s">
        <v>2</v>
      </c>
      <c r="E132" s="472"/>
      <c r="F132" s="369"/>
      <c r="G132" s="463">
        <v>16870</v>
      </c>
      <c r="H132" s="463">
        <v>4892</v>
      </c>
      <c r="I132" s="560">
        <v>359</v>
      </c>
      <c r="J132" s="543" t="s">
        <v>1</v>
      </c>
      <c r="K132" s="543">
        <v>3798</v>
      </c>
      <c r="L132" s="581"/>
      <c r="M132" s="463">
        <v>3798</v>
      </c>
      <c r="N132" s="463">
        <v>0</v>
      </c>
      <c r="O132" s="463">
        <v>0</v>
      </c>
      <c r="P132" s="463"/>
      <c r="Q132" s="543" t="s">
        <v>1</v>
      </c>
      <c r="R132" s="118" t="s">
        <v>494</v>
      </c>
      <c r="S132" s="118" t="s">
        <v>556</v>
      </c>
      <c r="T132" s="118" t="s">
        <v>607</v>
      </c>
      <c r="U132" s="118"/>
      <c r="V132" s="118"/>
      <c r="W132" s="118"/>
      <c r="X132" s="463"/>
      <c r="Y132" s="463"/>
      <c r="Z132" s="463"/>
      <c r="AA132" s="463"/>
      <c r="AB132" s="463"/>
      <c r="AC132" s="463"/>
      <c r="AD132" s="463"/>
      <c r="AE132" s="463"/>
      <c r="AF132" s="463"/>
      <c r="AG132" s="463"/>
      <c r="AH132" s="463"/>
      <c r="AI132" s="463"/>
      <c r="AJ132" s="463"/>
      <c r="AK132" s="463"/>
      <c r="AL132" s="463"/>
      <c r="AM132" s="463"/>
      <c r="AN132" s="482"/>
      <c r="AO132" s="463"/>
      <c r="AP132" s="463"/>
      <c r="AQ132" s="463"/>
      <c r="AR132" s="463"/>
      <c r="AS132" s="463"/>
      <c r="AT132" s="463"/>
      <c r="AU132" s="463"/>
      <c r="AV132" s="463"/>
      <c r="AW132" s="463"/>
      <c r="AX132" s="463"/>
      <c r="AY132" s="463"/>
      <c r="AZ132" s="463"/>
    </row>
    <row r="133" spans="1:53" s="486" customFormat="1" ht="15.75" customHeight="1" thickTop="1" x14ac:dyDescent="0.2">
      <c r="A133" s="483"/>
      <c r="B133" s="391"/>
      <c r="C133" s="380" t="s">
        <v>264</v>
      </c>
      <c r="D133" s="380"/>
      <c r="E133" s="484"/>
      <c r="F133" s="483"/>
      <c r="G133" s="382">
        <f t="shared" ref="G133:AY133" si="0">COUNTIF(G5:G132,"&gt;0")</f>
        <v>128</v>
      </c>
      <c r="H133" s="382">
        <f t="shared" si="0"/>
        <v>128</v>
      </c>
      <c r="I133" s="382">
        <f t="shared" si="0"/>
        <v>128</v>
      </c>
      <c r="J133" s="382">
        <f>COUNTIF(J5:J132,"y")</f>
        <v>128</v>
      </c>
      <c r="K133" s="382">
        <f t="shared" si="0"/>
        <v>128</v>
      </c>
      <c r="L133" s="382">
        <f>COUNTIF(L5:L132,"y")</f>
        <v>15</v>
      </c>
      <c r="M133" s="382">
        <f t="shared" si="0"/>
        <v>112</v>
      </c>
      <c r="N133" s="382">
        <f t="shared" si="0"/>
        <v>50</v>
      </c>
      <c r="O133" s="382">
        <f t="shared" si="0"/>
        <v>32</v>
      </c>
      <c r="P133" s="382">
        <f>COUNTIF(P5:P132,"y")</f>
        <v>76</v>
      </c>
      <c r="Q133" s="382">
        <f>COUNTIF(Q5:Q132,"y")</f>
        <v>103</v>
      </c>
      <c r="R133" s="382">
        <f t="shared" si="0"/>
        <v>0</v>
      </c>
      <c r="S133" s="382">
        <f t="shared" si="0"/>
        <v>0</v>
      </c>
      <c r="T133" s="382">
        <f t="shared" si="0"/>
        <v>0</v>
      </c>
      <c r="U133" s="382">
        <f t="shared" si="0"/>
        <v>0</v>
      </c>
      <c r="V133" s="382">
        <f t="shared" si="0"/>
        <v>0</v>
      </c>
      <c r="W133" s="382">
        <f t="shared" si="0"/>
        <v>0</v>
      </c>
      <c r="X133" s="382">
        <f t="shared" si="0"/>
        <v>0</v>
      </c>
      <c r="Y133" s="382">
        <f t="shared" si="0"/>
        <v>0</v>
      </c>
      <c r="Z133" s="382">
        <f t="shared" si="0"/>
        <v>0</v>
      </c>
      <c r="AA133" s="382">
        <f t="shared" si="0"/>
        <v>0</v>
      </c>
      <c r="AB133" s="382">
        <f t="shared" si="0"/>
        <v>0</v>
      </c>
      <c r="AC133" s="382">
        <f t="shared" si="0"/>
        <v>0</v>
      </c>
      <c r="AD133" s="382">
        <f t="shared" si="0"/>
        <v>0</v>
      </c>
      <c r="AE133" s="382">
        <f t="shared" si="0"/>
        <v>0</v>
      </c>
      <c r="AF133" s="382">
        <f t="shared" si="0"/>
        <v>0</v>
      </c>
      <c r="AG133" s="382">
        <f t="shared" si="0"/>
        <v>0</v>
      </c>
      <c r="AH133" s="382">
        <f t="shared" si="0"/>
        <v>0</v>
      </c>
      <c r="AI133" s="382">
        <f t="shared" si="0"/>
        <v>0</v>
      </c>
      <c r="AJ133" s="382">
        <f t="shared" si="0"/>
        <v>0</v>
      </c>
      <c r="AK133" s="382">
        <f t="shared" si="0"/>
        <v>0</v>
      </c>
      <c r="AL133" s="382">
        <f t="shared" si="0"/>
        <v>0</v>
      </c>
      <c r="AM133" s="382">
        <f t="shared" si="0"/>
        <v>0</v>
      </c>
      <c r="AN133" s="485">
        <f t="shared" si="0"/>
        <v>0</v>
      </c>
      <c r="AO133" s="382">
        <f t="shared" si="0"/>
        <v>0</v>
      </c>
      <c r="AP133" s="382">
        <f t="shared" si="0"/>
        <v>0</v>
      </c>
      <c r="AQ133" s="382">
        <f t="shared" si="0"/>
        <v>0</v>
      </c>
      <c r="AR133" s="382">
        <f t="shared" si="0"/>
        <v>0</v>
      </c>
      <c r="AS133" s="382">
        <f t="shared" si="0"/>
        <v>0</v>
      </c>
      <c r="AT133" s="382">
        <f t="shared" si="0"/>
        <v>0</v>
      </c>
      <c r="AU133" s="382">
        <f t="shared" si="0"/>
        <v>0</v>
      </c>
      <c r="AV133" s="382">
        <f t="shared" si="0"/>
        <v>0</v>
      </c>
      <c r="AW133" s="382">
        <f t="shared" si="0"/>
        <v>0</v>
      </c>
      <c r="AX133" s="382">
        <f t="shared" si="0"/>
        <v>0</v>
      </c>
      <c r="AY133" s="382">
        <f t="shared" si="0"/>
        <v>0</v>
      </c>
    </row>
    <row r="134" spans="1:53" s="487" customFormat="1" ht="15" customHeight="1" x14ac:dyDescent="0.2">
      <c r="B134" s="383"/>
      <c r="C134" s="376" t="s">
        <v>265</v>
      </c>
      <c r="D134" s="376"/>
      <c r="E134" s="488"/>
      <c r="F134" s="384"/>
      <c r="G134" s="385">
        <f>SUM(G5:G132)</f>
        <v>7725840</v>
      </c>
      <c r="H134" s="385">
        <f>SUM(H5:H132)</f>
        <v>2996611</v>
      </c>
      <c r="I134" s="385"/>
      <c r="J134" s="385">
        <f t="shared" ref="J134:AY134" si="1">SUM(J5:J132)</f>
        <v>0</v>
      </c>
      <c r="K134" s="385">
        <f t="shared" si="1"/>
        <v>2735205</v>
      </c>
      <c r="L134" s="385">
        <f t="shared" si="1"/>
        <v>0</v>
      </c>
      <c r="M134" s="385">
        <f t="shared" si="1"/>
        <v>2671542</v>
      </c>
      <c r="N134" s="385">
        <f t="shared" si="1"/>
        <v>1433778</v>
      </c>
      <c r="O134" s="385">
        <f t="shared" si="1"/>
        <v>361409</v>
      </c>
      <c r="P134" s="385">
        <f t="shared" si="1"/>
        <v>0</v>
      </c>
      <c r="Q134" s="385">
        <f t="shared" si="1"/>
        <v>0</v>
      </c>
      <c r="R134" s="385">
        <f t="shared" si="1"/>
        <v>0</v>
      </c>
      <c r="S134" s="385">
        <f t="shared" si="1"/>
        <v>0</v>
      </c>
      <c r="T134" s="385">
        <f t="shared" si="1"/>
        <v>0</v>
      </c>
      <c r="U134" s="385">
        <f t="shared" si="1"/>
        <v>0</v>
      </c>
      <c r="V134" s="385">
        <f t="shared" si="1"/>
        <v>0</v>
      </c>
      <c r="W134" s="385">
        <f t="shared" si="1"/>
        <v>0</v>
      </c>
      <c r="X134" s="385">
        <f t="shared" si="1"/>
        <v>0</v>
      </c>
      <c r="Y134" s="385">
        <f t="shared" si="1"/>
        <v>0</v>
      </c>
      <c r="Z134" s="385">
        <f t="shared" si="1"/>
        <v>0</v>
      </c>
      <c r="AA134" s="385">
        <f t="shared" si="1"/>
        <v>0</v>
      </c>
      <c r="AB134" s="385">
        <f t="shared" si="1"/>
        <v>0</v>
      </c>
      <c r="AC134" s="385">
        <f t="shared" si="1"/>
        <v>0</v>
      </c>
      <c r="AD134" s="385">
        <f t="shared" si="1"/>
        <v>0</v>
      </c>
      <c r="AE134" s="385">
        <f t="shared" si="1"/>
        <v>0</v>
      </c>
      <c r="AF134" s="385">
        <f t="shared" si="1"/>
        <v>0</v>
      </c>
      <c r="AG134" s="385">
        <f t="shared" si="1"/>
        <v>0</v>
      </c>
      <c r="AH134" s="385">
        <f t="shared" si="1"/>
        <v>0</v>
      </c>
      <c r="AI134" s="385">
        <f t="shared" si="1"/>
        <v>0</v>
      </c>
      <c r="AJ134" s="385">
        <f t="shared" si="1"/>
        <v>0</v>
      </c>
      <c r="AK134" s="385">
        <f t="shared" si="1"/>
        <v>0</v>
      </c>
      <c r="AL134" s="385">
        <f t="shared" si="1"/>
        <v>0</v>
      </c>
      <c r="AM134" s="385">
        <f t="shared" si="1"/>
        <v>0</v>
      </c>
      <c r="AN134" s="489">
        <f t="shared" si="1"/>
        <v>0</v>
      </c>
      <c r="AO134" s="385">
        <f t="shared" si="1"/>
        <v>0</v>
      </c>
      <c r="AP134" s="385">
        <f t="shared" si="1"/>
        <v>0</v>
      </c>
      <c r="AQ134" s="385">
        <f t="shared" si="1"/>
        <v>0</v>
      </c>
      <c r="AR134" s="385">
        <f t="shared" si="1"/>
        <v>0</v>
      </c>
      <c r="AS134" s="385">
        <f t="shared" si="1"/>
        <v>0</v>
      </c>
      <c r="AT134" s="385">
        <f t="shared" si="1"/>
        <v>0</v>
      </c>
      <c r="AU134" s="385">
        <f t="shared" si="1"/>
        <v>0</v>
      </c>
      <c r="AV134" s="385">
        <f t="shared" si="1"/>
        <v>0</v>
      </c>
      <c r="AW134" s="385">
        <f t="shared" si="1"/>
        <v>0</v>
      </c>
      <c r="AX134" s="385">
        <f t="shared" si="1"/>
        <v>0</v>
      </c>
      <c r="AY134" s="385">
        <f t="shared" si="1"/>
        <v>0</v>
      </c>
    </row>
    <row r="135" spans="1:53" s="487" customFormat="1" ht="15" customHeight="1" x14ac:dyDescent="0.2">
      <c r="B135" s="383"/>
      <c r="C135" s="376" t="s">
        <v>266</v>
      </c>
      <c r="D135" s="376"/>
      <c r="E135" s="488"/>
      <c r="F135" s="384"/>
      <c r="G135" s="379">
        <f t="shared" ref="G135:AY135" si="2">MIN(G5:G132)</f>
        <v>1875</v>
      </c>
      <c r="H135" s="379">
        <f t="shared" si="2"/>
        <v>741</v>
      </c>
      <c r="I135" s="379">
        <f t="shared" si="2"/>
        <v>48.5</v>
      </c>
      <c r="J135" s="379">
        <f t="shared" si="2"/>
        <v>0</v>
      </c>
      <c r="K135" s="379">
        <f t="shared" si="2"/>
        <v>704</v>
      </c>
      <c r="L135" s="379">
        <f t="shared" si="2"/>
        <v>0</v>
      </c>
      <c r="M135" s="379">
        <f t="shared" si="2"/>
        <v>0</v>
      </c>
      <c r="N135" s="379">
        <f t="shared" si="2"/>
        <v>0</v>
      </c>
      <c r="O135" s="379">
        <f t="shared" si="2"/>
        <v>0</v>
      </c>
      <c r="P135" s="379">
        <f t="shared" si="2"/>
        <v>0</v>
      </c>
      <c r="Q135" s="379">
        <f t="shared" si="2"/>
        <v>0</v>
      </c>
      <c r="R135" s="379">
        <f t="shared" si="2"/>
        <v>0</v>
      </c>
      <c r="S135" s="379">
        <f t="shared" si="2"/>
        <v>0</v>
      </c>
      <c r="T135" s="379">
        <f t="shared" si="2"/>
        <v>0</v>
      </c>
      <c r="U135" s="379">
        <f t="shared" si="2"/>
        <v>0</v>
      </c>
      <c r="V135" s="379">
        <f t="shared" si="2"/>
        <v>0</v>
      </c>
      <c r="W135" s="379">
        <f t="shared" si="2"/>
        <v>0</v>
      </c>
      <c r="X135" s="379">
        <f t="shared" si="2"/>
        <v>0</v>
      </c>
      <c r="Y135" s="379">
        <f t="shared" si="2"/>
        <v>0</v>
      </c>
      <c r="Z135" s="379">
        <f t="shared" si="2"/>
        <v>0</v>
      </c>
      <c r="AA135" s="379">
        <f t="shared" si="2"/>
        <v>0</v>
      </c>
      <c r="AB135" s="379">
        <f t="shared" si="2"/>
        <v>0</v>
      </c>
      <c r="AC135" s="379">
        <f t="shared" si="2"/>
        <v>0</v>
      </c>
      <c r="AD135" s="379">
        <f t="shared" si="2"/>
        <v>0</v>
      </c>
      <c r="AE135" s="379">
        <f t="shared" si="2"/>
        <v>0</v>
      </c>
      <c r="AF135" s="379">
        <f t="shared" si="2"/>
        <v>0</v>
      </c>
      <c r="AG135" s="379">
        <f t="shared" si="2"/>
        <v>0</v>
      </c>
      <c r="AH135" s="379">
        <f t="shared" si="2"/>
        <v>0</v>
      </c>
      <c r="AI135" s="379">
        <f t="shared" si="2"/>
        <v>0</v>
      </c>
      <c r="AJ135" s="379">
        <f t="shared" si="2"/>
        <v>0</v>
      </c>
      <c r="AK135" s="379">
        <f t="shared" si="2"/>
        <v>0</v>
      </c>
      <c r="AL135" s="379">
        <f t="shared" si="2"/>
        <v>0</v>
      </c>
      <c r="AM135" s="379">
        <f t="shared" si="2"/>
        <v>0</v>
      </c>
      <c r="AN135" s="490">
        <f t="shared" si="2"/>
        <v>0</v>
      </c>
      <c r="AO135" s="379">
        <f t="shared" si="2"/>
        <v>0</v>
      </c>
      <c r="AP135" s="379">
        <f t="shared" si="2"/>
        <v>0</v>
      </c>
      <c r="AQ135" s="379">
        <f t="shared" si="2"/>
        <v>0</v>
      </c>
      <c r="AR135" s="379">
        <f t="shared" si="2"/>
        <v>0</v>
      </c>
      <c r="AS135" s="379">
        <f t="shared" si="2"/>
        <v>0</v>
      </c>
      <c r="AT135" s="379">
        <f t="shared" si="2"/>
        <v>0</v>
      </c>
      <c r="AU135" s="379">
        <f t="shared" si="2"/>
        <v>0</v>
      </c>
      <c r="AV135" s="379">
        <f t="shared" si="2"/>
        <v>0</v>
      </c>
      <c r="AW135" s="379">
        <f t="shared" si="2"/>
        <v>0</v>
      </c>
      <c r="AX135" s="379">
        <f t="shared" si="2"/>
        <v>0</v>
      </c>
      <c r="AY135" s="379">
        <f t="shared" si="2"/>
        <v>0</v>
      </c>
    </row>
    <row r="136" spans="1:53" s="487" customFormat="1" ht="15" customHeight="1" x14ac:dyDescent="0.2">
      <c r="B136" s="383"/>
      <c r="C136" s="376" t="s">
        <v>267</v>
      </c>
      <c r="D136" s="376"/>
      <c r="E136" s="488"/>
      <c r="F136" s="384"/>
      <c r="G136" s="379">
        <f t="shared" ref="G136:AY136" si="3">MAX(G5:G132)</f>
        <v>359671</v>
      </c>
      <c r="H136" s="379">
        <f t="shared" si="3"/>
        <v>130469</v>
      </c>
      <c r="I136" s="379">
        <f t="shared" si="3"/>
        <v>705</v>
      </c>
      <c r="J136" s="379">
        <f t="shared" si="3"/>
        <v>0</v>
      </c>
      <c r="K136" s="379">
        <f t="shared" si="3"/>
        <v>131869</v>
      </c>
      <c r="L136" s="379">
        <f t="shared" si="3"/>
        <v>0</v>
      </c>
      <c r="M136" s="379">
        <f t="shared" si="3"/>
        <v>132191</v>
      </c>
      <c r="N136" s="379">
        <f t="shared" si="3"/>
        <v>123590</v>
      </c>
      <c r="O136" s="379">
        <f t="shared" si="3"/>
        <v>56140</v>
      </c>
      <c r="P136" s="379">
        <f t="shared" si="3"/>
        <v>0</v>
      </c>
      <c r="Q136" s="379">
        <f t="shared" si="3"/>
        <v>0</v>
      </c>
      <c r="R136" s="379">
        <f t="shared" si="3"/>
        <v>0</v>
      </c>
      <c r="S136" s="379">
        <f t="shared" si="3"/>
        <v>0</v>
      </c>
      <c r="T136" s="379">
        <f t="shared" si="3"/>
        <v>0</v>
      </c>
      <c r="U136" s="379">
        <f t="shared" si="3"/>
        <v>0</v>
      </c>
      <c r="V136" s="379">
        <f t="shared" si="3"/>
        <v>0</v>
      </c>
      <c r="W136" s="379">
        <f t="shared" si="3"/>
        <v>0</v>
      </c>
      <c r="X136" s="379">
        <f t="shared" si="3"/>
        <v>0</v>
      </c>
      <c r="Y136" s="379">
        <f t="shared" si="3"/>
        <v>0</v>
      </c>
      <c r="Z136" s="379">
        <f t="shared" si="3"/>
        <v>0</v>
      </c>
      <c r="AA136" s="379">
        <f t="shared" si="3"/>
        <v>0</v>
      </c>
      <c r="AB136" s="379">
        <f t="shared" si="3"/>
        <v>0</v>
      </c>
      <c r="AC136" s="379">
        <f t="shared" si="3"/>
        <v>0</v>
      </c>
      <c r="AD136" s="379">
        <f t="shared" si="3"/>
        <v>0</v>
      </c>
      <c r="AE136" s="379">
        <f t="shared" si="3"/>
        <v>0</v>
      </c>
      <c r="AF136" s="379">
        <f t="shared" si="3"/>
        <v>0</v>
      </c>
      <c r="AG136" s="379">
        <f t="shared" si="3"/>
        <v>0</v>
      </c>
      <c r="AH136" s="379">
        <f t="shared" si="3"/>
        <v>0</v>
      </c>
      <c r="AI136" s="379">
        <f t="shared" si="3"/>
        <v>0</v>
      </c>
      <c r="AJ136" s="379">
        <f t="shared" si="3"/>
        <v>0</v>
      </c>
      <c r="AK136" s="379">
        <f t="shared" si="3"/>
        <v>0</v>
      </c>
      <c r="AL136" s="379">
        <f t="shared" si="3"/>
        <v>0</v>
      </c>
      <c r="AM136" s="379">
        <f t="shared" si="3"/>
        <v>0</v>
      </c>
      <c r="AN136" s="490">
        <f t="shared" si="3"/>
        <v>0</v>
      </c>
      <c r="AO136" s="379">
        <f t="shared" si="3"/>
        <v>0</v>
      </c>
      <c r="AP136" s="379">
        <f t="shared" si="3"/>
        <v>0</v>
      </c>
      <c r="AQ136" s="379">
        <f t="shared" si="3"/>
        <v>0</v>
      </c>
      <c r="AR136" s="379">
        <f t="shared" si="3"/>
        <v>0</v>
      </c>
      <c r="AS136" s="379">
        <f t="shared" si="3"/>
        <v>0</v>
      </c>
      <c r="AT136" s="379">
        <f t="shared" si="3"/>
        <v>0</v>
      </c>
      <c r="AU136" s="379">
        <f t="shared" si="3"/>
        <v>0</v>
      </c>
      <c r="AV136" s="379">
        <f t="shared" si="3"/>
        <v>0</v>
      </c>
      <c r="AW136" s="379">
        <f t="shared" si="3"/>
        <v>0</v>
      </c>
      <c r="AX136" s="379">
        <f t="shared" si="3"/>
        <v>0</v>
      </c>
      <c r="AY136" s="379">
        <f t="shared" si="3"/>
        <v>0</v>
      </c>
    </row>
    <row r="137" spans="1:53" s="487" customFormat="1" ht="15" customHeight="1" x14ac:dyDescent="0.2">
      <c r="B137" s="383"/>
      <c r="C137" s="376" t="s">
        <v>268</v>
      </c>
      <c r="D137" s="376"/>
      <c r="E137" s="488"/>
      <c r="F137" s="384"/>
      <c r="G137" s="379">
        <f t="shared" ref="G137:AY137" si="4">AVERAGE(G5:G132)</f>
        <v>60358.125</v>
      </c>
      <c r="H137" s="379">
        <f t="shared" si="4"/>
        <v>23411.0234375</v>
      </c>
      <c r="I137" s="561">
        <f t="shared" si="4"/>
        <v>377.45109375000004</v>
      </c>
      <c r="J137" s="379" t="e">
        <f t="shared" si="4"/>
        <v>#DIV/0!</v>
      </c>
      <c r="K137" s="379">
        <f t="shared" si="4"/>
        <v>21368.7890625</v>
      </c>
      <c r="L137" s="379" t="e">
        <f t="shared" si="4"/>
        <v>#DIV/0!</v>
      </c>
      <c r="M137" s="379">
        <f t="shared" si="4"/>
        <v>20871.421875</v>
      </c>
      <c r="N137" s="379">
        <f t="shared" si="4"/>
        <v>11201.390625</v>
      </c>
      <c r="O137" s="379">
        <f t="shared" si="4"/>
        <v>2823.5078125</v>
      </c>
      <c r="P137" s="379" t="e">
        <f t="shared" si="4"/>
        <v>#DIV/0!</v>
      </c>
      <c r="Q137" s="379" t="e">
        <f t="shared" si="4"/>
        <v>#DIV/0!</v>
      </c>
      <c r="R137" s="379" t="e">
        <f t="shared" si="4"/>
        <v>#DIV/0!</v>
      </c>
      <c r="S137" s="379" t="e">
        <f t="shared" si="4"/>
        <v>#DIV/0!</v>
      </c>
      <c r="T137" s="379" t="e">
        <f t="shared" si="4"/>
        <v>#DIV/0!</v>
      </c>
      <c r="U137" s="379" t="e">
        <f t="shared" si="4"/>
        <v>#DIV/0!</v>
      </c>
      <c r="V137" s="379" t="e">
        <f t="shared" si="4"/>
        <v>#DIV/0!</v>
      </c>
      <c r="W137" s="379" t="e">
        <f t="shared" si="4"/>
        <v>#DIV/0!</v>
      </c>
      <c r="X137" s="379" t="e">
        <f t="shared" si="4"/>
        <v>#DIV/0!</v>
      </c>
      <c r="Y137" s="379" t="e">
        <f t="shared" si="4"/>
        <v>#DIV/0!</v>
      </c>
      <c r="Z137" s="379" t="e">
        <f t="shared" si="4"/>
        <v>#DIV/0!</v>
      </c>
      <c r="AA137" s="379" t="e">
        <f t="shared" si="4"/>
        <v>#DIV/0!</v>
      </c>
      <c r="AB137" s="379" t="e">
        <f t="shared" si="4"/>
        <v>#DIV/0!</v>
      </c>
      <c r="AC137" s="379" t="e">
        <f t="shared" si="4"/>
        <v>#DIV/0!</v>
      </c>
      <c r="AD137" s="379" t="e">
        <f t="shared" si="4"/>
        <v>#DIV/0!</v>
      </c>
      <c r="AE137" s="379" t="e">
        <f t="shared" si="4"/>
        <v>#DIV/0!</v>
      </c>
      <c r="AF137" s="379" t="e">
        <f t="shared" si="4"/>
        <v>#DIV/0!</v>
      </c>
      <c r="AG137" s="379" t="e">
        <f t="shared" si="4"/>
        <v>#DIV/0!</v>
      </c>
      <c r="AH137" s="379" t="e">
        <f t="shared" si="4"/>
        <v>#DIV/0!</v>
      </c>
      <c r="AI137" s="379" t="e">
        <f t="shared" si="4"/>
        <v>#DIV/0!</v>
      </c>
      <c r="AJ137" s="379" t="e">
        <f t="shared" si="4"/>
        <v>#DIV/0!</v>
      </c>
      <c r="AK137" s="379" t="e">
        <f t="shared" si="4"/>
        <v>#DIV/0!</v>
      </c>
      <c r="AL137" s="379" t="e">
        <f t="shared" si="4"/>
        <v>#DIV/0!</v>
      </c>
      <c r="AM137" s="379" t="e">
        <f t="shared" si="4"/>
        <v>#DIV/0!</v>
      </c>
      <c r="AN137" s="490" t="e">
        <f t="shared" si="4"/>
        <v>#DIV/0!</v>
      </c>
      <c r="AO137" s="379" t="e">
        <f t="shared" si="4"/>
        <v>#DIV/0!</v>
      </c>
      <c r="AP137" s="379" t="e">
        <f t="shared" si="4"/>
        <v>#DIV/0!</v>
      </c>
      <c r="AQ137" s="379" t="e">
        <f t="shared" si="4"/>
        <v>#DIV/0!</v>
      </c>
      <c r="AR137" s="379" t="e">
        <f t="shared" si="4"/>
        <v>#DIV/0!</v>
      </c>
      <c r="AS137" s="379" t="e">
        <f t="shared" si="4"/>
        <v>#DIV/0!</v>
      </c>
      <c r="AT137" s="379" t="e">
        <f t="shared" si="4"/>
        <v>#DIV/0!</v>
      </c>
      <c r="AU137" s="379" t="e">
        <f t="shared" si="4"/>
        <v>#DIV/0!</v>
      </c>
      <c r="AV137" s="379" t="e">
        <f t="shared" si="4"/>
        <v>#DIV/0!</v>
      </c>
      <c r="AW137" s="379" t="e">
        <f t="shared" si="4"/>
        <v>#DIV/0!</v>
      </c>
      <c r="AX137" s="379" t="e">
        <f t="shared" si="4"/>
        <v>#DIV/0!</v>
      </c>
      <c r="AY137" s="379" t="e">
        <f t="shared" si="4"/>
        <v>#DIV/0!</v>
      </c>
    </row>
    <row r="138" spans="1:53" s="487" customFormat="1" ht="15.75" customHeight="1" thickBot="1" x14ac:dyDescent="0.25">
      <c r="B138" s="387"/>
      <c r="C138" s="386" t="s">
        <v>269</v>
      </c>
      <c r="D138" s="386"/>
      <c r="E138" s="491"/>
      <c r="F138" s="384"/>
      <c r="G138" s="388">
        <f t="shared" ref="G138:AY138" si="5">MEDIAN(G5:G132)</f>
        <v>24187</v>
      </c>
      <c r="H138" s="388">
        <f t="shared" si="5"/>
        <v>11181</v>
      </c>
      <c r="I138" s="388">
        <f t="shared" si="5"/>
        <v>383.11500000000001</v>
      </c>
      <c r="J138" s="388" t="e">
        <f t="shared" si="5"/>
        <v>#NUM!</v>
      </c>
      <c r="K138" s="388">
        <f t="shared" si="5"/>
        <v>9079</v>
      </c>
      <c r="L138" s="388" t="e">
        <f t="shared" si="5"/>
        <v>#NUM!</v>
      </c>
      <c r="M138" s="388">
        <f t="shared" si="5"/>
        <v>8895.5</v>
      </c>
      <c r="N138" s="388">
        <f t="shared" si="5"/>
        <v>0</v>
      </c>
      <c r="O138" s="388">
        <f t="shared" si="5"/>
        <v>0</v>
      </c>
      <c r="P138" s="388" t="e">
        <f t="shared" si="5"/>
        <v>#NUM!</v>
      </c>
      <c r="Q138" s="388" t="e">
        <f t="shared" si="5"/>
        <v>#NUM!</v>
      </c>
      <c r="R138" s="388" t="e">
        <f t="shared" si="5"/>
        <v>#NUM!</v>
      </c>
      <c r="S138" s="388" t="e">
        <f t="shared" si="5"/>
        <v>#NUM!</v>
      </c>
      <c r="T138" s="388" t="e">
        <f t="shared" si="5"/>
        <v>#NUM!</v>
      </c>
      <c r="U138" s="388" t="e">
        <f t="shared" si="5"/>
        <v>#NUM!</v>
      </c>
      <c r="V138" s="388" t="e">
        <f t="shared" si="5"/>
        <v>#NUM!</v>
      </c>
      <c r="W138" s="388" t="e">
        <f t="shared" si="5"/>
        <v>#NUM!</v>
      </c>
      <c r="X138" s="388" t="e">
        <f t="shared" si="5"/>
        <v>#NUM!</v>
      </c>
      <c r="Y138" s="388" t="e">
        <f t="shared" si="5"/>
        <v>#NUM!</v>
      </c>
      <c r="Z138" s="388" t="e">
        <f t="shared" si="5"/>
        <v>#NUM!</v>
      </c>
      <c r="AA138" s="388" t="e">
        <f t="shared" si="5"/>
        <v>#NUM!</v>
      </c>
      <c r="AB138" s="388" t="e">
        <f t="shared" si="5"/>
        <v>#NUM!</v>
      </c>
      <c r="AC138" s="388" t="e">
        <f t="shared" si="5"/>
        <v>#NUM!</v>
      </c>
      <c r="AD138" s="388" t="e">
        <f t="shared" si="5"/>
        <v>#NUM!</v>
      </c>
      <c r="AE138" s="388" t="e">
        <f t="shared" si="5"/>
        <v>#NUM!</v>
      </c>
      <c r="AF138" s="388" t="e">
        <f t="shared" si="5"/>
        <v>#NUM!</v>
      </c>
      <c r="AG138" s="388" t="e">
        <f t="shared" si="5"/>
        <v>#NUM!</v>
      </c>
      <c r="AH138" s="388" t="e">
        <f t="shared" si="5"/>
        <v>#NUM!</v>
      </c>
      <c r="AI138" s="388" t="e">
        <f t="shared" si="5"/>
        <v>#NUM!</v>
      </c>
      <c r="AJ138" s="388" t="e">
        <f t="shared" si="5"/>
        <v>#NUM!</v>
      </c>
      <c r="AK138" s="388" t="e">
        <f t="shared" si="5"/>
        <v>#NUM!</v>
      </c>
      <c r="AL138" s="388" t="e">
        <f t="shared" si="5"/>
        <v>#NUM!</v>
      </c>
      <c r="AM138" s="388" t="e">
        <f t="shared" si="5"/>
        <v>#NUM!</v>
      </c>
      <c r="AN138" s="492" t="e">
        <f t="shared" si="5"/>
        <v>#NUM!</v>
      </c>
      <c r="AO138" s="388" t="e">
        <f t="shared" si="5"/>
        <v>#NUM!</v>
      </c>
      <c r="AP138" s="388" t="e">
        <f t="shared" si="5"/>
        <v>#NUM!</v>
      </c>
      <c r="AQ138" s="388" t="e">
        <f t="shared" si="5"/>
        <v>#NUM!</v>
      </c>
      <c r="AR138" s="388" t="e">
        <f t="shared" si="5"/>
        <v>#NUM!</v>
      </c>
      <c r="AS138" s="388" t="e">
        <f t="shared" si="5"/>
        <v>#NUM!</v>
      </c>
      <c r="AT138" s="388" t="e">
        <f t="shared" si="5"/>
        <v>#NUM!</v>
      </c>
      <c r="AU138" s="388" t="e">
        <f t="shared" si="5"/>
        <v>#NUM!</v>
      </c>
      <c r="AV138" s="388" t="e">
        <f t="shared" si="5"/>
        <v>#NUM!</v>
      </c>
      <c r="AW138" s="388" t="e">
        <f t="shared" si="5"/>
        <v>#NUM!</v>
      </c>
      <c r="AX138" s="388" t="e">
        <f t="shared" si="5"/>
        <v>#NUM!</v>
      </c>
      <c r="AY138" s="388" t="e">
        <f t="shared" si="5"/>
        <v>#NUM!</v>
      </c>
    </row>
    <row r="139" spans="1:53" ht="13.5" thickTop="1" x14ac:dyDescent="0.2">
      <c r="B139" s="493" t="s">
        <v>261</v>
      </c>
      <c r="G139" s="494"/>
      <c r="H139" s="494"/>
      <c r="I139" s="494"/>
      <c r="J139" s="494"/>
      <c r="K139" s="585">
        <f>K134/$H$134</f>
        <v>0.91276612146187808</v>
      </c>
      <c r="L139" s="495"/>
      <c r="M139" s="585">
        <f>M134/$H$134</f>
        <v>0.89152112169380682</v>
      </c>
      <c r="N139" s="585">
        <f>N134/$H$134</f>
        <v>0.47846650766482535</v>
      </c>
      <c r="O139" s="585">
        <f>O134/$H$134</f>
        <v>0.12060591114428933</v>
      </c>
      <c r="P139" s="494"/>
      <c r="Q139" s="494"/>
      <c r="R139" s="494"/>
      <c r="S139" s="494"/>
      <c r="T139" s="495"/>
      <c r="U139" s="495"/>
      <c r="V139" s="495"/>
      <c r="W139" s="495"/>
      <c r="X139" s="495"/>
      <c r="Y139" s="494"/>
      <c r="Z139" s="494"/>
      <c r="AA139" s="494"/>
      <c r="AB139" s="494"/>
      <c r="AC139" s="495"/>
      <c r="AD139" s="495"/>
      <c r="AE139" s="495"/>
      <c r="AF139" s="495"/>
      <c r="AG139" s="495"/>
      <c r="AH139" s="494"/>
      <c r="AI139" s="494"/>
      <c r="AJ139" s="494"/>
      <c r="AK139" s="494"/>
      <c r="AL139" s="495"/>
      <c r="AM139" s="495"/>
      <c r="AN139" s="496"/>
      <c r="AO139" s="495"/>
      <c r="AP139" s="495"/>
      <c r="AQ139" s="494"/>
      <c r="AR139" s="494"/>
      <c r="AS139" s="494"/>
      <c r="AT139" s="494"/>
      <c r="AU139" s="495"/>
      <c r="AV139" s="495"/>
      <c r="AW139" s="495"/>
      <c r="AX139" s="495"/>
      <c r="AY139" s="495"/>
    </row>
    <row r="140" spans="1:53" x14ac:dyDescent="0.2">
      <c r="G140" s="370"/>
      <c r="H140" s="370"/>
      <c r="I140" s="370"/>
      <c r="J140" s="370"/>
      <c r="K140" s="370"/>
      <c r="L140" s="370"/>
      <c r="O140" s="415"/>
    </row>
    <row r="141" spans="1:53" x14ac:dyDescent="0.2">
      <c r="A141" s="365">
        <v>1</v>
      </c>
      <c r="B141" s="365">
        <v>2</v>
      </c>
      <c r="C141" s="365">
        <v>3</v>
      </c>
      <c r="D141" s="365">
        <v>4</v>
      </c>
      <c r="E141" s="498">
        <v>5</v>
      </c>
      <c r="F141" s="498">
        <v>6</v>
      </c>
      <c r="G141" s="365">
        <v>7</v>
      </c>
      <c r="H141" s="365">
        <v>8</v>
      </c>
      <c r="I141" s="365">
        <v>9</v>
      </c>
      <c r="J141" s="365">
        <v>10</v>
      </c>
      <c r="K141" s="365">
        <v>11</v>
      </c>
      <c r="L141" s="365">
        <v>12</v>
      </c>
      <c r="M141" s="365">
        <v>13</v>
      </c>
      <c r="N141" s="366">
        <v>14</v>
      </c>
      <c r="O141" s="366">
        <v>15</v>
      </c>
      <c r="P141" s="366">
        <v>16</v>
      </c>
      <c r="Q141" s="366">
        <v>17</v>
      </c>
      <c r="R141" s="366">
        <v>18</v>
      </c>
      <c r="S141" s="366">
        <v>19</v>
      </c>
      <c r="T141" s="366">
        <v>20</v>
      </c>
      <c r="U141" s="366">
        <v>21</v>
      </c>
      <c r="V141" s="366">
        <v>22</v>
      </c>
      <c r="W141" s="366">
        <v>23</v>
      </c>
      <c r="X141" s="366">
        <v>24</v>
      </c>
      <c r="Y141" s="366">
        <v>25</v>
      </c>
      <c r="Z141" s="366">
        <v>26</v>
      </c>
      <c r="AA141" s="366">
        <v>27</v>
      </c>
      <c r="AB141" s="366">
        <v>28</v>
      </c>
      <c r="AC141" s="366">
        <v>29</v>
      </c>
      <c r="AD141" s="366">
        <v>30</v>
      </c>
      <c r="AE141" s="366">
        <v>31</v>
      </c>
      <c r="AF141" s="366">
        <v>32</v>
      </c>
      <c r="AG141" s="366">
        <v>33</v>
      </c>
      <c r="AH141" s="366">
        <v>34</v>
      </c>
      <c r="AI141" s="366">
        <v>35</v>
      </c>
      <c r="AJ141" s="366">
        <v>36</v>
      </c>
      <c r="AK141" s="366">
        <v>37</v>
      </c>
      <c r="AL141" s="366">
        <v>38</v>
      </c>
      <c r="AM141" s="366">
        <v>39</v>
      </c>
      <c r="AN141" s="499">
        <v>40</v>
      </c>
      <c r="AO141" s="366">
        <v>41</v>
      </c>
      <c r="AP141" s="366">
        <v>42</v>
      </c>
      <c r="AQ141" s="366">
        <v>43</v>
      </c>
      <c r="AR141" s="366">
        <v>44</v>
      </c>
      <c r="AS141" s="366">
        <v>45</v>
      </c>
      <c r="AT141" s="366">
        <v>46</v>
      </c>
      <c r="AU141" s="366">
        <v>47</v>
      </c>
      <c r="AV141" s="366">
        <v>48</v>
      </c>
      <c r="AW141" s="366">
        <v>49</v>
      </c>
      <c r="AX141" s="366">
        <v>50</v>
      </c>
      <c r="AY141" s="366">
        <v>51</v>
      </c>
      <c r="AZ141" s="366">
        <v>52</v>
      </c>
      <c r="BA141" s="366"/>
    </row>
    <row r="142" spans="1:53" x14ac:dyDescent="0.2">
      <c r="C142" s="370"/>
      <c r="D142" s="370"/>
      <c r="E142" s="500"/>
      <c r="G142" s="370"/>
      <c r="H142" s="370"/>
      <c r="I142" s="370"/>
      <c r="J142" s="370"/>
      <c r="K142" s="370"/>
      <c r="L142" s="370"/>
    </row>
    <row r="143" spans="1:53" ht="15.75" x14ac:dyDescent="0.25">
      <c r="B143" s="371" t="s">
        <v>18</v>
      </c>
      <c r="C143" s="501"/>
      <c r="D143" s="501"/>
      <c r="E143" s="502"/>
      <c r="F143" s="374"/>
      <c r="G143" s="375"/>
      <c r="H143" s="375"/>
      <c r="I143" s="375"/>
      <c r="J143" s="375"/>
      <c r="K143" s="375"/>
      <c r="L143" s="375"/>
      <c r="M143" t="s">
        <v>304</v>
      </c>
    </row>
    <row r="144" spans="1:53" x14ac:dyDescent="0.2">
      <c r="A144" s="377">
        <v>10500</v>
      </c>
      <c r="B144" s="378" t="str">
        <f>VLOOKUP($A144,$A$5:$L$132,2,FALSE)</f>
        <v xml:space="preserve">Bayside Council </v>
      </c>
      <c r="C144" s="377" t="str">
        <f t="shared" ref="C144:C173" si="6">VLOOKUP($A144,$A$5:$L$133,3,FALSE)</f>
        <v>SSROC</v>
      </c>
      <c r="D144" s="503" t="str">
        <f t="shared" ref="D144:D173" si="7">VLOOKUP($A144,$A$5:$L$133,4,FALSE)</f>
        <v>S</v>
      </c>
      <c r="E144" s="504"/>
      <c r="F144" s="505"/>
      <c r="G144" s="379">
        <f t="shared" ref="G144:G173" si="8">VLOOKUP($A144,$A$5:$AY$132,7,FALSE)</f>
        <v>160944</v>
      </c>
      <c r="H144" s="379">
        <f t="shared" ref="H144:H173" si="9">VLOOKUP($A144,$A$5:$AY$132,8,FALSE)</f>
        <v>58760</v>
      </c>
      <c r="I144" s="379">
        <f t="shared" ref="I144:I173" si="10">VLOOKUP($A144,$A$5:$AY$132,9,FALSE)</f>
        <v>462</v>
      </c>
      <c r="J144" s="379" t="str">
        <f t="shared" ref="J144:J173" si="11">VLOOKUP($A144,$A$5:$AY$132,10,FALSE)</f>
        <v>Y</v>
      </c>
      <c r="K144" s="379">
        <f t="shared" ref="K144:K173" si="12">VLOOKUP($A144,$A$5:$AY$132,11,FALSE)</f>
        <v>42095</v>
      </c>
      <c r="L144" s="379" t="str">
        <f t="shared" ref="L144:L173" si="13">VLOOKUP($A144,$A$5:$AY$132,12,FALSE)</f>
        <v>Y</v>
      </c>
      <c r="M144" s="379">
        <f t="shared" ref="M144:M173" si="14">VLOOKUP($A144,$A$4:$AY$132,13,FALSE)</f>
        <v>43087</v>
      </c>
      <c r="N144" s="379">
        <f t="shared" ref="N144:N173" si="15">VLOOKUP($A144,$A$4:$AY$132,14,FALSE)</f>
        <v>8167</v>
      </c>
      <c r="O144" s="379">
        <f t="shared" ref="O144:O173" si="16">VLOOKUP($A144,$A$4:$AY$132,15,FALSE)</f>
        <v>0</v>
      </c>
      <c r="P144" s="379" t="str">
        <f t="shared" ref="P144:P173" si="17">VLOOKUP($A144,$A$4:$AY$132,16,FALSE)</f>
        <v>Y</v>
      </c>
      <c r="Q144" s="379">
        <f t="shared" ref="Q144:Q173" si="18">VLOOKUP($A144,$A$4:$AY$132,17,FALSE)</f>
        <v>0</v>
      </c>
      <c r="R144" s="379">
        <f t="shared" ref="R144:R173" si="19">VLOOKUP($A144,$A$4:$AY$132,18,FALSE)</f>
        <v>0</v>
      </c>
      <c r="S144" s="379">
        <f t="shared" ref="S144:S173" si="20">VLOOKUP($A144,$A$4:$AY$132,19,FALSE)</f>
        <v>0</v>
      </c>
      <c r="T144" s="379">
        <f t="shared" ref="T144:T173" si="21">VLOOKUP($A144,$A$4:$AY$132,20,FALSE)</f>
        <v>0</v>
      </c>
      <c r="U144" s="379">
        <f t="shared" ref="U144:U173" si="22">VLOOKUP($A144,$A$4:$AY$132,21,FALSE)</f>
        <v>0</v>
      </c>
      <c r="V144" s="379">
        <f t="shared" ref="V144:V173" si="23">VLOOKUP($A144,$A$4:$AY$132,22,FALSE)</f>
        <v>0</v>
      </c>
      <c r="W144" s="379">
        <f t="shared" ref="W144:W173" si="24">VLOOKUP($A144,$A$4:$AY$132,23,FALSE)</f>
        <v>0</v>
      </c>
      <c r="X144" s="379">
        <f t="shared" ref="X144:X173" si="25">VLOOKUP($A144,$A$4:$AY$132,24,FALSE)</f>
        <v>0</v>
      </c>
      <c r="Y144" s="379">
        <f t="shared" ref="Y144:Y173" si="26">VLOOKUP($A144,$A$4:$AY$132,25,FALSE)</f>
        <v>0</v>
      </c>
      <c r="Z144" s="379">
        <f t="shared" ref="Z144:Z173" si="27">VLOOKUP($A144,$A$4:$AY$132,26,FALSE)</f>
        <v>0</v>
      </c>
      <c r="AA144" s="379">
        <f t="shared" ref="AA144:AA173" si="28">VLOOKUP($A144,$A$4:$AY$132,27,FALSE)</f>
        <v>0</v>
      </c>
      <c r="AB144" s="379">
        <f t="shared" ref="AB144:AB173" si="29">VLOOKUP($A144,$A$4:$AY$132,28,FALSE)</f>
        <v>0</v>
      </c>
      <c r="AC144" s="379">
        <f t="shared" ref="AC144:AC173" si="30">VLOOKUP($A144,$A$4:$AY$132,29,FALSE)</f>
        <v>0</v>
      </c>
      <c r="AD144" s="379">
        <f t="shared" ref="AD144:AD173" si="31">VLOOKUP($A144,$A$4:$AY$132,30,FALSE)</f>
        <v>0</v>
      </c>
      <c r="AE144" s="379">
        <f t="shared" ref="AE144:AE173" si="32">VLOOKUP($A144,$A$4:$AY$132,31,FALSE)</f>
        <v>0</v>
      </c>
      <c r="AF144" s="379">
        <f t="shared" ref="AF144:AF173" si="33">VLOOKUP($A144,$A$4:$AY$132,32,FALSE)</f>
        <v>0</v>
      </c>
      <c r="AG144" s="379">
        <f t="shared" ref="AG144:AG173" si="34">VLOOKUP($A144,$A$4:$AY$132,33,FALSE)</f>
        <v>0</v>
      </c>
      <c r="AH144" s="379">
        <f t="shared" ref="AH144:AH173" si="35">VLOOKUP($A144,$A$4:$AY$132,34,FALSE)</f>
        <v>0</v>
      </c>
      <c r="AI144" s="379">
        <f t="shared" ref="AI144:AI173" si="36">VLOOKUP($A144,$A$4:$AY$132,35,FALSE)</f>
        <v>0</v>
      </c>
      <c r="AJ144" s="379">
        <f t="shared" ref="AJ144:AJ173" si="37">VLOOKUP($A144,$A$4:$AY$132,36,FALSE)</f>
        <v>0</v>
      </c>
      <c r="AK144" s="379">
        <f t="shared" ref="AK144:AK173" si="38">VLOOKUP($A144,$A$4:$AY$132,37,FALSE)</f>
        <v>0</v>
      </c>
      <c r="AL144" s="379">
        <f t="shared" ref="AL144:AL173" si="39">VLOOKUP($A144,$A$4:$AY$132,38,FALSE)</f>
        <v>0</v>
      </c>
      <c r="AM144" s="379">
        <f t="shared" ref="AM144:AM173" si="40">VLOOKUP($A144,$A$4:$AY$132,39,FALSE)</f>
        <v>0</v>
      </c>
      <c r="AN144" s="490">
        <f t="shared" ref="AN144:AN173" si="41">VLOOKUP($A144,$A$4:$AY$132,40,FALSE)</f>
        <v>0</v>
      </c>
      <c r="AO144" s="379">
        <f t="shared" ref="AO144:AO173" si="42">VLOOKUP($A144,$A$4:$AY$132,41,FALSE)</f>
        <v>0</v>
      </c>
      <c r="AP144" s="379">
        <f t="shared" ref="AP144:AP173" si="43">VLOOKUP($A144,$A$4:$AY$132,42,FALSE)</f>
        <v>0</v>
      </c>
      <c r="AQ144" s="379">
        <f t="shared" ref="AQ144:AQ173" si="44">VLOOKUP($A144,$A$4:$AY$132,43,FALSE)</f>
        <v>0</v>
      </c>
      <c r="AR144" s="379">
        <f t="shared" ref="AR144:AR173" si="45">VLOOKUP($A144,$A$4:$AY$132,44,FALSE)</f>
        <v>0</v>
      </c>
      <c r="AS144" s="379">
        <f t="shared" ref="AS144:AS173" si="46">VLOOKUP($A144,$A$4:$AY$132,45,FALSE)</f>
        <v>0</v>
      </c>
      <c r="AT144" s="379">
        <f t="shared" ref="AT144:AT173" si="47">VLOOKUP($A144,$A$4:$AY$132,46,FALSE)</f>
        <v>0</v>
      </c>
      <c r="AU144" s="379">
        <f t="shared" ref="AU144:AU173" si="48">VLOOKUP($A144,$A$4:$AY$132,47,FALSE)</f>
        <v>0</v>
      </c>
      <c r="AV144" s="379">
        <f t="shared" ref="AV144:AV173" si="49">VLOOKUP($A144,$A$4:$AY$132,48,FALSE)</f>
        <v>0</v>
      </c>
      <c r="AW144" s="379">
        <f t="shared" ref="AW144:AW173" si="50">VLOOKUP($A144,$A$4:$AY$132,49,FALSE)</f>
        <v>0</v>
      </c>
      <c r="AX144" s="379">
        <f t="shared" ref="AX144:AX173" si="51">VLOOKUP($A144,$A$4:$AY$132,50,FALSE)</f>
        <v>0</v>
      </c>
      <c r="AY144" s="379">
        <f t="shared" ref="AY144:AY173" si="52">VLOOKUP($A144,$A$4:$AY$132,51,FALSE)</f>
        <v>0</v>
      </c>
    </row>
    <row r="145" spans="1:51" x14ac:dyDescent="0.2">
      <c r="A145" s="376">
        <v>10750</v>
      </c>
      <c r="B145" s="378" t="str">
        <f t="shared" ref="B145:B173" si="53">VLOOKUP($A145,$A$5:$L$133,2,FALSE)</f>
        <v>Blacktown (C)</v>
      </c>
      <c r="C145" s="377" t="str">
        <f t="shared" si="6"/>
        <v>WSROC</v>
      </c>
      <c r="D145" s="503" t="str">
        <f t="shared" si="7"/>
        <v>S</v>
      </c>
      <c r="E145" s="503"/>
      <c r="F145"/>
      <c r="G145" s="379">
        <f t="shared" si="8"/>
        <v>348138</v>
      </c>
      <c r="H145" s="379">
        <f t="shared" si="9"/>
        <v>122906</v>
      </c>
      <c r="I145" s="379">
        <f t="shared" si="10"/>
        <v>472</v>
      </c>
      <c r="J145" s="379" t="str">
        <f t="shared" si="11"/>
        <v>Y</v>
      </c>
      <c r="K145" s="379">
        <f t="shared" si="12"/>
        <v>106113</v>
      </c>
      <c r="L145" s="379" t="str">
        <f t="shared" si="13"/>
        <v>Y</v>
      </c>
      <c r="M145" s="379">
        <f t="shared" si="14"/>
        <v>105000</v>
      </c>
      <c r="N145" s="379">
        <f t="shared" si="15"/>
        <v>0</v>
      </c>
      <c r="O145" s="379">
        <f t="shared" si="16"/>
        <v>0</v>
      </c>
      <c r="P145" s="379" t="str">
        <f t="shared" si="17"/>
        <v>Y</v>
      </c>
      <c r="Q145" s="379" t="str">
        <f t="shared" si="18"/>
        <v>Y</v>
      </c>
      <c r="R145" s="379" t="str">
        <f t="shared" si="19"/>
        <v>Chemical Cleanout - Depot</v>
      </c>
      <c r="S145" s="379">
        <f t="shared" si="20"/>
        <v>0</v>
      </c>
      <c r="T145" s="379">
        <f t="shared" si="21"/>
        <v>0</v>
      </c>
      <c r="U145" s="379">
        <f t="shared" si="22"/>
        <v>0</v>
      </c>
      <c r="V145" s="379">
        <f t="shared" si="23"/>
        <v>0</v>
      </c>
      <c r="W145" s="379">
        <f t="shared" si="24"/>
        <v>0</v>
      </c>
      <c r="X145" s="379">
        <f t="shared" si="25"/>
        <v>0</v>
      </c>
      <c r="Y145" s="379">
        <f t="shared" si="26"/>
        <v>0</v>
      </c>
      <c r="Z145" s="379">
        <f t="shared" si="27"/>
        <v>0</v>
      </c>
      <c r="AA145" s="379">
        <f t="shared" si="28"/>
        <v>0</v>
      </c>
      <c r="AB145" s="379">
        <f t="shared" si="29"/>
        <v>0</v>
      </c>
      <c r="AC145" s="379">
        <f t="shared" si="30"/>
        <v>0</v>
      </c>
      <c r="AD145" s="379">
        <f t="shared" si="31"/>
        <v>0</v>
      </c>
      <c r="AE145" s="379">
        <f t="shared" si="32"/>
        <v>0</v>
      </c>
      <c r="AF145" s="379">
        <f t="shared" si="33"/>
        <v>0</v>
      </c>
      <c r="AG145" s="379">
        <f t="shared" si="34"/>
        <v>0</v>
      </c>
      <c r="AH145" s="379">
        <f t="shared" si="35"/>
        <v>0</v>
      </c>
      <c r="AI145" s="379">
        <f t="shared" si="36"/>
        <v>0</v>
      </c>
      <c r="AJ145" s="379">
        <f t="shared" si="37"/>
        <v>0</v>
      </c>
      <c r="AK145" s="379">
        <f t="shared" si="38"/>
        <v>0</v>
      </c>
      <c r="AL145" s="379">
        <f t="shared" si="39"/>
        <v>0</v>
      </c>
      <c r="AM145" s="379">
        <f t="shared" si="40"/>
        <v>0</v>
      </c>
      <c r="AN145" s="490">
        <f t="shared" si="41"/>
        <v>0</v>
      </c>
      <c r="AO145" s="379">
        <f t="shared" si="42"/>
        <v>0</v>
      </c>
      <c r="AP145" s="379">
        <f t="shared" si="43"/>
        <v>0</v>
      </c>
      <c r="AQ145" s="379">
        <f t="shared" si="44"/>
        <v>0</v>
      </c>
      <c r="AR145" s="379">
        <f t="shared" si="45"/>
        <v>0</v>
      </c>
      <c r="AS145" s="379">
        <f t="shared" si="46"/>
        <v>0</v>
      </c>
      <c r="AT145" s="379">
        <f t="shared" si="47"/>
        <v>0</v>
      </c>
      <c r="AU145" s="379">
        <f t="shared" si="48"/>
        <v>0</v>
      </c>
      <c r="AV145" s="379">
        <f t="shared" si="49"/>
        <v>0</v>
      </c>
      <c r="AW145" s="379">
        <f t="shared" si="50"/>
        <v>0</v>
      </c>
      <c r="AX145" s="379">
        <f t="shared" si="51"/>
        <v>0</v>
      </c>
      <c r="AY145" s="379">
        <f t="shared" si="52"/>
        <v>0</v>
      </c>
    </row>
    <row r="146" spans="1:51" x14ac:dyDescent="0.2">
      <c r="A146" s="376">
        <v>11300</v>
      </c>
      <c r="B146" s="378" t="str">
        <f t="shared" si="53"/>
        <v>Burwood (A)</v>
      </c>
      <c r="C146" s="377" t="str">
        <f t="shared" si="6"/>
        <v>SSROC</v>
      </c>
      <c r="D146" s="503" t="str">
        <f t="shared" si="7"/>
        <v>S</v>
      </c>
      <c r="E146" s="503"/>
      <c r="F146"/>
      <c r="G146" s="379">
        <f t="shared" si="8"/>
        <v>36505</v>
      </c>
      <c r="H146" s="379">
        <f t="shared" si="9"/>
        <v>14224</v>
      </c>
      <c r="I146" s="379">
        <f t="shared" si="10"/>
        <v>367</v>
      </c>
      <c r="J146" s="379" t="str">
        <f t="shared" si="11"/>
        <v>Y</v>
      </c>
      <c r="K146" s="379">
        <f t="shared" si="12"/>
        <v>14224</v>
      </c>
      <c r="L146" s="379">
        <f t="shared" si="13"/>
        <v>0</v>
      </c>
      <c r="M146" s="379">
        <f t="shared" si="14"/>
        <v>14224</v>
      </c>
      <c r="N146" s="379">
        <f t="shared" si="15"/>
        <v>14224</v>
      </c>
      <c r="O146" s="379">
        <f t="shared" si="16"/>
        <v>0</v>
      </c>
      <c r="P146" s="379" t="str">
        <f t="shared" si="17"/>
        <v>Y</v>
      </c>
      <c r="Q146" s="379" t="str">
        <f t="shared" si="18"/>
        <v>Y</v>
      </c>
      <c r="R146" s="379" t="str">
        <f t="shared" si="19"/>
        <v>E-waste Drop Off</v>
      </c>
      <c r="S146" s="379">
        <f t="shared" si="20"/>
        <v>0</v>
      </c>
      <c r="T146" s="379">
        <f t="shared" si="21"/>
        <v>0</v>
      </c>
      <c r="U146" s="379">
        <f t="shared" si="22"/>
        <v>0</v>
      </c>
      <c r="V146" s="379">
        <f t="shared" si="23"/>
        <v>0</v>
      </c>
      <c r="W146" s="379">
        <f t="shared" si="24"/>
        <v>0</v>
      </c>
      <c r="X146" s="379">
        <f t="shared" si="25"/>
        <v>0</v>
      </c>
      <c r="Y146" s="379">
        <f t="shared" si="26"/>
        <v>0</v>
      </c>
      <c r="Z146" s="379">
        <f t="shared" si="27"/>
        <v>0</v>
      </c>
      <c r="AA146" s="379">
        <f t="shared" si="28"/>
        <v>0</v>
      </c>
      <c r="AB146" s="379">
        <f t="shared" si="29"/>
        <v>0</v>
      </c>
      <c r="AC146" s="379">
        <f t="shared" si="30"/>
        <v>0</v>
      </c>
      <c r="AD146" s="379">
        <f t="shared" si="31"/>
        <v>0</v>
      </c>
      <c r="AE146" s="379">
        <f t="shared" si="32"/>
        <v>0</v>
      </c>
      <c r="AF146" s="379">
        <f t="shared" si="33"/>
        <v>0</v>
      </c>
      <c r="AG146" s="379">
        <f t="shared" si="34"/>
        <v>0</v>
      </c>
      <c r="AH146" s="379">
        <f t="shared" si="35"/>
        <v>0</v>
      </c>
      <c r="AI146" s="379">
        <f t="shared" si="36"/>
        <v>0</v>
      </c>
      <c r="AJ146" s="379">
        <f t="shared" si="37"/>
        <v>0</v>
      </c>
      <c r="AK146" s="379">
        <f t="shared" si="38"/>
        <v>0</v>
      </c>
      <c r="AL146" s="379">
        <f t="shared" si="39"/>
        <v>0</v>
      </c>
      <c r="AM146" s="379">
        <f t="shared" si="40"/>
        <v>0</v>
      </c>
      <c r="AN146" s="490">
        <f t="shared" si="41"/>
        <v>0</v>
      </c>
      <c r="AO146" s="379">
        <f t="shared" si="42"/>
        <v>0</v>
      </c>
      <c r="AP146" s="379">
        <f t="shared" si="43"/>
        <v>0</v>
      </c>
      <c r="AQ146" s="379">
        <f t="shared" si="44"/>
        <v>0</v>
      </c>
      <c r="AR146" s="379">
        <f t="shared" si="45"/>
        <v>0</v>
      </c>
      <c r="AS146" s="379">
        <f t="shared" si="46"/>
        <v>0</v>
      </c>
      <c r="AT146" s="379">
        <f t="shared" si="47"/>
        <v>0</v>
      </c>
      <c r="AU146" s="379">
        <f t="shared" si="48"/>
        <v>0</v>
      </c>
      <c r="AV146" s="379">
        <f t="shared" si="49"/>
        <v>0</v>
      </c>
      <c r="AW146" s="379">
        <f t="shared" si="50"/>
        <v>0</v>
      </c>
      <c r="AX146" s="379">
        <f t="shared" si="51"/>
        <v>0</v>
      </c>
      <c r="AY146" s="379">
        <f t="shared" si="52"/>
        <v>0</v>
      </c>
    </row>
    <row r="147" spans="1:51" x14ac:dyDescent="0.2">
      <c r="A147" s="376">
        <v>11450</v>
      </c>
      <c r="B147" s="378" t="str">
        <f t="shared" si="53"/>
        <v>Camden (A)</v>
      </c>
      <c r="C147" s="377" t="str">
        <f t="shared" si="6"/>
        <v>MACROC</v>
      </c>
      <c r="D147" s="503" t="str">
        <f t="shared" si="7"/>
        <v>S</v>
      </c>
      <c r="E147" s="503"/>
      <c r="F147"/>
      <c r="G147" s="379">
        <f t="shared" si="8"/>
        <v>77504</v>
      </c>
      <c r="H147" s="379">
        <f t="shared" si="9"/>
        <v>27740</v>
      </c>
      <c r="I147" s="379">
        <f t="shared" si="10"/>
        <v>601.29999999999995</v>
      </c>
      <c r="J147" s="379" t="str">
        <f t="shared" si="11"/>
        <v>Y</v>
      </c>
      <c r="K147" s="379">
        <f t="shared" si="12"/>
        <v>28399</v>
      </c>
      <c r="L147" s="379">
        <f t="shared" si="13"/>
        <v>0</v>
      </c>
      <c r="M147" s="379">
        <f t="shared" si="14"/>
        <v>27763</v>
      </c>
      <c r="N147" s="379">
        <f t="shared" si="15"/>
        <v>25283</v>
      </c>
      <c r="O147" s="379">
        <f t="shared" si="16"/>
        <v>0</v>
      </c>
      <c r="P147" s="379" t="str">
        <f t="shared" si="17"/>
        <v>Y</v>
      </c>
      <c r="Q147" s="379">
        <f t="shared" si="18"/>
        <v>0</v>
      </c>
      <c r="R147" s="379">
        <f t="shared" si="19"/>
        <v>0</v>
      </c>
      <c r="S147" s="379">
        <f t="shared" si="20"/>
        <v>0</v>
      </c>
      <c r="T147" s="379">
        <f t="shared" si="21"/>
        <v>0</v>
      </c>
      <c r="U147" s="379">
        <f t="shared" si="22"/>
        <v>0</v>
      </c>
      <c r="V147" s="379">
        <f t="shared" si="23"/>
        <v>0</v>
      </c>
      <c r="W147" s="379">
        <f t="shared" si="24"/>
        <v>0</v>
      </c>
      <c r="X147" s="379">
        <f t="shared" si="25"/>
        <v>0</v>
      </c>
      <c r="Y147" s="379">
        <f t="shared" si="26"/>
        <v>0</v>
      </c>
      <c r="Z147" s="379">
        <f t="shared" si="27"/>
        <v>0</v>
      </c>
      <c r="AA147" s="379">
        <f t="shared" si="28"/>
        <v>0</v>
      </c>
      <c r="AB147" s="379">
        <f t="shared" si="29"/>
        <v>0</v>
      </c>
      <c r="AC147" s="379">
        <f t="shared" si="30"/>
        <v>0</v>
      </c>
      <c r="AD147" s="379">
        <f t="shared" si="31"/>
        <v>0</v>
      </c>
      <c r="AE147" s="379">
        <f t="shared" si="32"/>
        <v>0</v>
      </c>
      <c r="AF147" s="379">
        <f t="shared" si="33"/>
        <v>0</v>
      </c>
      <c r="AG147" s="379">
        <f t="shared" si="34"/>
        <v>0</v>
      </c>
      <c r="AH147" s="379">
        <f t="shared" si="35"/>
        <v>0</v>
      </c>
      <c r="AI147" s="379">
        <f t="shared" si="36"/>
        <v>0</v>
      </c>
      <c r="AJ147" s="379">
        <f t="shared" si="37"/>
        <v>0</v>
      </c>
      <c r="AK147" s="379">
        <f t="shared" si="38"/>
        <v>0</v>
      </c>
      <c r="AL147" s="379">
        <f t="shared" si="39"/>
        <v>0</v>
      </c>
      <c r="AM147" s="379">
        <f t="shared" si="40"/>
        <v>0</v>
      </c>
      <c r="AN147" s="490">
        <f t="shared" si="41"/>
        <v>0</v>
      </c>
      <c r="AO147" s="379">
        <f t="shared" si="42"/>
        <v>0</v>
      </c>
      <c r="AP147" s="379">
        <f t="shared" si="43"/>
        <v>0</v>
      </c>
      <c r="AQ147" s="379">
        <f t="shared" si="44"/>
        <v>0</v>
      </c>
      <c r="AR147" s="379">
        <f t="shared" si="45"/>
        <v>0</v>
      </c>
      <c r="AS147" s="379">
        <f t="shared" si="46"/>
        <v>0</v>
      </c>
      <c r="AT147" s="379">
        <f t="shared" si="47"/>
        <v>0</v>
      </c>
      <c r="AU147" s="379">
        <f t="shared" si="48"/>
        <v>0</v>
      </c>
      <c r="AV147" s="379">
        <f t="shared" si="49"/>
        <v>0</v>
      </c>
      <c r="AW147" s="379">
        <f t="shared" si="50"/>
        <v>0</v>
      </c>
      <c r="AX147" s="379">
        <f t="shared" si="51"/>
        <v>0</v>
      </c>
      <c r="AY147" s="379">
        <f t="shared" si="52"/>
        <v>0</v>
      </c>
    </row>
    <row r="148" spans="1:51" x14ac:dyDescent="0.2">
      <c r="A148" s="376">
        <v>11500</v>
      </c>
      <c r="B148" s="378" t="str">
        <f t="shared" si="53"/>
        <v>Campbelltown (C) (NSW)</v>
      </c>
      <c r="C148" s="377" t="str">
        <f t="shared" si="6"/>
        <v>MACROC</v>
      </c>
      <c r="D148" s="503" t="str">
        <f t="shared" si="7"/>
        <v>S</v>
      </c>
      <c r="E148" s="503"/>
      <c r="F148"/>
      <c r="G148" s="379">
        <f t="shared" si="8"/>
        <v>161998</v>
      </c>
      <c r="H148" s="379">
        <f t="shared" si="9"/>
        <v>56521</v>
      </c>
      <c r="I148" s="379">
        <f t="shared" si="10"/>
        <v>329.3</v>
      </c>
      <c r="J148" s="379" t="str">
        <f t="shared" si="11"/>
        <v>Y</v>
      </c>
      <c r="K148" s="379">
        <f t="shared" si="12"/>
        <v>54581</v>
      </c>
      <c r="L148" s="379">
        <f t="shared" si="13"/>
        <v>0</v>
      </c>
      <c r="M148" s="379">
        <f t="shared" si="14"/>
        <v>54581</v>
      </c>
      <c r="N148" s="379">
        <f t="shared" si="15"/>
        <v>54380</v>
      </c>
      <c r="O148" s="379">
        <f t="shared" si="16"/>
        <v>0</v>
      </c>
      <c r="P148" s="379" t="str">
        <f t="shared" si="17"/>
        <v>Y</v>
      </c>
      <c r="Q148" s="379">
        <f t="shared" si="18"/>
        <v>0</v>
      </c>
      <c r="R148" s="379">
        <f t="shared" si="19"/>
        <v>0</v>
      </c>
      <c r="S148" s="379">
        <f t="shared" si="20"/>
        <v>0</v>
      </c>
      <c r="T148" s="379">
        <f t="shared" si="21"/>
        <v>0</v>
      </c>
      <c r="U148" s="379">
        <f t="shared" si="22"/>
        <v>0</v>
      </c>
      <c r="V148" s="379">
        <f t="shared" si="23"/>
        <v>0</v>
      </c>
      <c r="W148" s="379">
        <f t="shared" si="24"/>
        <v>0</v>
      </c>
      <c r="X148" s="379">
        <f t="shared" si="25"/>
        <v>0</v>
      </c>
      <c r="Y148" s="379">
        <f t="shared" si="26"/>
        <v>0</v>
      </c>
      <c r="Z148" s="379">
        <f t="shared" si="27"/>
        <v>0</v>
      </c>
      <c r="AA148" s="379">
        <f t="shared" si="28"/>
        <v>0</v>
      </c>
      <c r="AB148" s="379">
        <f t="shared" si="29"/>
        <v>0</v>
      </c>
      <c r="AC148" s="379">
        <f t="shared" si="30"/>
        <v>0</v>
      </c>
      <c r="AD148" s="379">
        <f t="shared" si="31"/>
        <v>0</v>
      </c>
      <c r="AE148" s="379">
        <f t="shared" si="32"/>
        <v>0</v>
      </c>
      <c r="AF148" s="379">
        <f t="shared" si="33"/>
        <v>0</v>
      </c>
      <c r="AG148" s="379">
        <f t="shared" si="34"/>
        <v>0</v>
      </c>
      <c r="AH148" s="379">
        <f t="shared" si="35"/>
        <v>0</v>
      </c>
      <c r="AI148" s="379">
        <f t="shared" si="36"/>
        <v>0</v>
      </c>
      <c r="AJ148" s="379">
        <f t="shared" si="37"/>
        <v>0</v>
      </c>
      <c r="AK148" s="379">
        <f t="shared" si="38"/>
        <v>0</v>
      </c>
      <c r="AL148" s="379">
        <f t="shared" si="39"/>
        <v>0</v>
      </c>
      <c r="AM148" s="379">
        <f t="shared" si="40"/>
        <v>0</v>
      </c>
      <c r="AN148" s="490">
        <f t="shared" si="41"/>
        <v>0</v>
      </c>
      <c r="AO148" s="379">
        <f t="shared" si="42"/>
        <v>0</v>
      </c>
      <c r="AP148" s="379">
        <f t="shared" si="43"/>
        <v>0</v>
      </c>
      <c r="AQ148" s="379">
        <f t="shared" si="44"/>
        <v>0</v>
      </c>
      <c r="AR148" s="379">
        <f t="shared" si="45"/>
        <v>0</v>
      </c>
      <c r="AS148" s="379">
        <f t="shared" si="46"/>
        <v>0</v>
      </c>
      <c r="AT148" s="379">
        <f t="shared" si="47"/>
        <v>0</v>
      </c>
      <c r="AU148" s="379">
        <f t="shared" si="48"/>
        <v>0</v>
      </c>
      <c r="AV148" s="379">
        <f t="shared" si="49"/>
        <v>0</v>
      </c>
      <c r="AW148" s="379">
        <f t="shared" si="50"/>
        <v>0</v>
      </c>
      <c r="AX148" s="379">
        <f t="shared" si="51"/>
        <v>0</v>
      </c>
      <c r="AY148" s="379">
        <f t="shared" si="52"/>
        <v>0</v>
      </c>
    </row>
    <row r="149" spans="1:51" x14ac:dyDescent="0.2">
      <c r="A149" s="376">
        <v>11520</v>
      </c>
      <c r="B149" s="378" t="str">
        <f t="shared" si="53"/>
        <v>Canada Bay (A)</v>
      </c>
      <c r="C149" s="377" t="str">
        <f t="shared" si="6"/>
        <v>SSROC</v>
      </c>
      <c r="D149" s="503" t="str">
        <f t="shared" si="7"/>
        <v>S</v>
      </c>
      <c r="E149" s="503"/>
      <c r="F149"/>
      <c r="G149" s="379">
        <f t="shared" si="8"/>
        <v>90427</v>
      </c>
      <c r="H149" s="379">
        <f t="shared" si="9"/>
        <v>34974</v>
      </c>
      <c r="I149" s="379">
        <f t="shared" si="10"/>
        <v>372.5</v>
      </c>
      <c r="J149" s="379" t="str">
        <f t="shared" si="11"/>
        <v>Y</v>
      </c>
      <c r="K149" s="379">
        <f t="shared" si="12"/>
        <v>26129</v>
      </c>
      <c r="L149" s="379">
        <f t="shared" si="13"/>
        <v>0</v>
      </c>
      <c r="M149" s="379">
        <f t="shared" si="14"/>
        <v>26573</v>
      </c>
      <c r="N149" s="379">
        <f t="shared" si="15"/>
        <v>18949</v>
      </c>
      <c r="O149" s="379">
        <f t="shared" si="16"/>
        <v>0</v>
      </c>
      <c r="P149" s="379" t="str">
        <f t="shared" si="17"/>
        <v>Y</v>
      </c>
      <c r="Q149" s="379">
        <f t="shared" si="18"/>
        <v>0</v>
      </c>
      <c r="R149" s="379">
        <f t="shared" si="19"/>
        <v>0</v>
      </c>
      <c r="S149" s="379">
        <f t="shared" si="20"/>
        <v>0</v>
      </c>
      <c r="T149" s="379">
        <f t="shared" si="21"/>
        <v>0</v>
      </c>
      <c r="U149" s="379">
        <f t="shared" si="22"/>
        <v>0</v>
      </c>
      <c r="V149" s="379">
        <f t="shared" si="23"/>
        <v>0</v>
      </c>
      <c r="W149" s="379">
        <f t="shared" si="24"/>
        <v>0</v>
      </c>
      <c r="X149" s="379">
        <f t="shared" si="25"/>
        <v>0</v>
      </c>
      <c r="Y149" s="379">
        <f t="shared" si="26"/>
        <v>0</v>
      </c>
      <c r="Z149" s="379">
        <f t="shared" si="27"/>
        <v>0</v>
      </c>
      <c r="AA149" s="379">
        <f t="shared" si="28"/>
        <v>0</v>
      </c>
      <c r="AB149" s="379">
        <f t="shared" si="29"/>
        <v>0</v>
      </c>
      <c r="AC149" s="379">
        <f t="shared" si="30"/>
        <v>0</v>
      </c>
      <c r="AD149" s="379">
        <f t="shared" si="31"/>
        <v>0</v>
      </c>
      <c r="AE149" s="379">
        <f t="shared" si="32"/>
        <v>0</v>
      </c>
      <c r="AF149" s="379">
        <f t="shared" si="33"/>
        <v>0</v>
      </c>
      <c r="AG149" s="379">
        <f t="shared" si="34"/>
        <v>0</v>
      </c>
      <c r="AH149" s="379">
        <f t="shared" si="35"/>
        <v>0</v>
      </c>
      <c r="AI149" s="379">
        <f t="shared" si="36"/>
        <v>0</v>
      </c>
      <c r="AJ149" s="379">
        <f t="shared" si="37"/>
        <v>0</v>
      </c>
      <c r="AK149" s="379">
        <f t="shared" si="38"/>
        <v>0</v>
      </c>
      <c r="AL149" s="379">
        <f t="shared" si="39"/>
        <v>0</v>
      </c>
      <c r="AM149" s="379">
        <f t="shared" si="40"/>
        <v>0</v>
      </c>
      <c r="AN149" s="490">
        <f t="shared" si="41"/>
        <v>0</v>
      </c>
      <c r="AO149" s="379">
        <f t="shared" si="42"/>
        <v>0</v>
      </c>
      <c r="AP149" s="379">
        <f t="shared" si="43"/>
        <v>0</v>
      </c>
      <c r="AQ149" s="379">
        <f t="shared" si="44"/>
        <v>0</v>
      </c>
      <c r="AR149" s="379">
        <f t="shared" si="45"/>
        <v>0</v>
      </c>
      <c r="AS149" s="379">
        <f t="shared" si="46"/>
        <v>0</v>
      </c>
      <c r="AT149" s="379">
        <f t="shared" si="47"/>
        <v>0</v>
      </c>
      <c r="AU149" s="379">
        <f t="shared" si="48"/>
        <v>0</v>
      </c>
      <c r="AV149" s="379">
        <f t="shared" si="49"/>
        <v>0</v>
      </c>
      <c r="AW149" s="379">
        <f t="shared" si="50"/>
        <v>0</v>
      </c>
      <c r="AX149" s="379">
        <f t="shared" si="51"/>
        <v>0</v>
      </c>
      <c r="AY149" s="379">
        <f t="shared" si="52"/>
        <v>0</v>
      </c>
    </row>
    <row r="150" spans="1:51" x14ac:dyDescent="0.2">
      <c r="A150" s="376">
        <v>11570</v>
      </c>
      <c r="B150" s="378" t="str">
        <f t="shared" si="53"/>
        <v>Canterbury-Bankstown (A)</v>
      </c>
      <c r="C150" s="377" t="str">
        <f t="shared" si="6"/>
        <v>SSROC</v>
      </c>
      <c r="D150" s="503" t="str">
        <f t="shared" si="7"/>
        <v>S</v>
      </c>
      <c r="E150" s="503"/>
      <c r="F150"/>
      <c r="G150" s="379">
        <f t="shared" si="8"/>
        <v>359671</v>
      </c>
      <c r="H150" s="379">
        <f t="shared" si="9"/>
        <v>114340</v>
      </c>
      <c r="I150" s="379">
        <f t="shared" si="10"/>
        <v>450</v>
      </c>
      <c r="J150" s="379" t="str">
        <f t="shared" si="11"/>
        <v>Y</v>
      </c>
      <c r="K150" s="379">
        <f t="shared" si="12"/>
        <v>97684</v>
      </c>
      <c r="L150" s="379">
        <f t="shared" si="13"/>
        <v>0</v>
      </c>
      <c r="M150" s="379">
        <f t="shared" si="14"/>
        <v>95567</v>
      </c>
      <c r="N150" s="379">
        <f t="shared" si="15"/>
        <v>85288</v>
      </c>
      <c r="O150" s="379">
        <f t="shared" si="16"/>
        <v>0</v>
      </c>
      <c r="P150" s="379" t="str">
        <f t="shared" si="17"/>
        <v>Y</v>
      </c>
      <c r="Q150" s="379">
        <f t="shared" si="18"/>
        <v>0</v>
      </c>
      <c r="R150" s="379">
        <f t="shared" si="19"/>
        <v>0</v>
      </c>
      <c r="S150" s="379">
        <f t="shared" si="20"/>
        <v>0</v>
      </c>
      <c r="T150" s="379">
        <f t="shared" si="21"/>
        <v>0</v>
      </c>
      <c r="U150" s="379">
        <f t="shared" si="22"/>
        <v>0</v>
      </c>
      <c r="V150" s="379">
        <f t="shared" si="23"/>
        <v>0</v>
      </c>
      <c r="W150" s="379">
        <f t="shared" si="24"/>
        <v>0</v>
      </c>
      <c r="X150" s="379">
        <f t="shared" si="25"/>
        <v>0</v>
      </c>
      <c r="Y150" s="379">
        <f t="shared" si="26"/>
        <v>0</v>
      </c>
      <c r="Z150" s="379">
        <f t="shared" si="27"/>
        <v>0</v>
      </c>
      <c r="AA150" s="379">
        <f t="shared" si="28"/>
        <v>0</v>
      </c>
      <c r="AB150" s="379">
        <f t="shared" si="29"/>
        <v>0</v>
      </c>
      <c r="AC150" s="379">
        <f t="shared" si="30"/>
        <v>0</v>
      </c>
      <c r="AD150" s="379">
        <f t="shared" si="31"/>
        <v>0</v>
      </c>
      <c r="AE150" s="379">
        <f t="shared" si="32"/>
        <v>0</v>
      </c>
      <c r="AF150" s="379">
        <f t="shared" si="33"/>
        <v>0</v>
      </c>
      <c r="AG150" s="379">
        <f t="shared" si="34"/>
        <v>0</v>
      </c>
      <c r="AH150" s="379">
        <f t="shared" si="35"/>
        <v>0</v>
      </c>
      <c r="AI150" s="379">
        <f t="shared" si="36"/>
        <v>0</v>
      </c>
      <c r="AJ150" s="379">
        <f t="shared" si="37"/>
        <v>0</v>
      </c>
      <c r="AK150" s="379">
        <f t="shared" si="38"/>
        <v>0</v>
      </c>
      <c r="AL150" s="379">
        <f t="shared" si="39"/>
        <v>0</v>
      </c>
      <c r="AM150" s="379">
        <f t="shared" si="40"/>
        <v>0</v>
      </c>
      <c r="AN150" s="490">
        <f t="shared" si="41"/>
        <v>0</v>
      </c>
      <c r="AO150" s="379">
        <f t="shared" si="42"/>
        <v>0</v>
      </c>
      <c r="AP150" s="379">
        <f t="shared" si="43"/>
        <v>0</v>
      </c>
      <c r="AQ150" s="379">
        <f t="shared" si="44"/>
        <v>0</v>
      </c>
      <c r="AR150" s="379">
        <f t="shared" si="45"/>
        <v>0</v>
      </c>
      <c r="AS150" s="379">
        <f t="shared" si="46"/>
        <v>0</v>
      </c>
      <c r="AT150" s="379">
        <f t="shared" si="47"/>
        <v>0</v>
      </c>
      <c r="AU150" s="379">
        <f t="shared" si="48"/>
        <v>0</v>
      </c>
      <c r="AV150" s="379">
        <f t="shared" si="49"/>
        <v>0</v>
      </c>
      <c r="AW150" s="379">
        <f t="shared" si="50"/>
        <v>0</v>
      </c>
      <c r="AX150" s="379">
        <f t="shared" si="51"/>
        <v>0</v>
      </c>
      <c r="AY150" s="379">
        <f t="shared" si="52"/>
        <v>0</v>
      </c>
    </row>
    <row r="151" spans="1:51" x14ac:dyDescent="0.2">
      <c r="A151" s="376">
        <v>12380</v>
      </c>
      <c r="B151" s="378" t="str">
        <f t="shared" si="53"/>
        <v>Cumberland (A)</v>
      </c>
      <c r="C151" s="377" t="str">
        <f t="shared" si="6"/>
        <v>WSROC</v>
      </c>
      <c r="D151" s="503" t="str">
        <f t="shared" si="7"/>
        <v>S</v>
      </c>
      <c r="E151" s="503"/>
      <c r="F151"/>
      <c r="G151" s="379">
        <f t="shared" si="8"/>
        <v>222758</v>
      </c>
      <c r="H151" s="379">
        <f t="shared" si="9"/>
        <v>72079</v>
      </c>
      <c r="I151" s="379">
        <f t="shared" si="10"/>
        <v>447</v>
      </c>
      <c r="J151" s="379" t="str">
        <f t="shared" si="11"/>
        <v>Y</v>
      </c>
      <c r="K151" s="379">
        <f t="shared" si="12"/>
        <v>68923</v>
      </c>
      <c r="L151" s="379" t="str">
        <f t="shared" si="13"/>
        <v>Y</v>
      </c>
      <c r="M151" s="379">
        <f t="shared" si="14"/>
        <v>65715</v>
      </c>
      <c r="N151" s="379">
        <f t="shared" si="15"/>
        <v>22584</v>
      </c>
      <c r="O151" s="379">
        <f t="shared" si="16"/>
        <v>0</v>
      </c>
      <c r="P151" s="379" t="str">
        <f t="shared" si="17"/>
        <v>Y</v>
      </c>
      <c r="Q151" s="379" t="str">
        <f t="shared" si="18"/>
        <v>Y</v>
      </c>
      <c r="R151" s="379" t="str">
        <f t="shared" si="19"/>
        <v>Holroyd Depot</v>
      </c>
      <c r="S151" s="379">
        <f t="shared" si="20"/>
        <v>0</v>
      </c>
      <c r="T151" s="379">
        <f t="shared" si="21"/>
        <v>0</v>
      </c>
      <c r="U151" s="379">
        <f t="shared" si="22"/>
        <v>0</v>
      </c>
      <c r="V151" s="379">
        <f t="shared" si="23"/>
        <v>0</v>
      </c>
      <c r="W151" s="379">
        <f t="shared" si="24"/>
        <v>0</v>
      </c>
      <c r="X151" s="379">
        <f t="shared" si="25"/>
        <v>0</v>
      </c>
      <c r="Y151" s="379">
        <f t="shared" si="26"/>
        <v>0</v>
      </c>
      <c r="Z151" s="379">
        <f t="shared" si="27"/>
        <v>0</v>
      </c>
      <c r="AA151" s="379">
        <f t="shared" si="28"/>
        <v>0</v>
      </c>
      <c r="AB151" s="379">
        <f t="shared" si="29"/>
        <v>0</v>
      </c>
      <c r="AC151" s="379">
        <f t="shared" si="30"/>
        <v>0</v>
      </c>
      <c r="AD151" s="379">
        <f t="shared" si="31"/>
        <v>0</v>
      </c>
      <c r="AE151" s="379">
        <f t="shared" si="32"/>
        <v>0</v>
      </c>
      <c r="AF151" s="379">
        <f t="shared" si="33"/>
        <v>0</v>
      </c>
      <c r="AG151" s="379">
        <f t="shared" si="34"/>
        <v>0</v>
      </c>
      <c r="AH151" s="379">
        <f t="shared" si="35"/>
        <v>0</v>
      </c>
      <c r="AI151" s="379">
        <f t="shared" si="36"/>
        <v>0</v>
      </c>
      <c r="AJ151" s="379">
        <f t="shared" si="37"/>
        <v>0</v>
      </c>
      <c r="AK151" s="379">
        <f t="shared" si="38"/>
        <v>0</v>
      </c>
      <c r="AL151" s="379">
        <f t="shared" si="39"/>
        <v>0</v>
      </c>
      <c r="AM151" s="379">
        <f t="shared" si="40"/>
        <v>0</v>
      </c>
      <c r="AN151" s="490">
        <f t="shared" si="41"/>
        <v>0</v>
      </c>
      <c r="AO151" s="379">
        <f t="shared" si="42"/>
        <v>0</v>
      </c>
      <c r="AP151" s="379">
        <f t="shared" si="43"/>
        <v>0</v>
      </c>
      <c r="AQ151" s="379">
        <f t="shared" si="44"/>
        <v>0</v>
      </c>
      <c r="AR151" s="379">
        <f t="shared" si="45"/>
        <v>0</v>
      </c>
      <c r="AS151" s="379">
        <f t="shared" si="46"/>
        <v>0</v>
      </c>
      <c r="AT151" s="379">
        <f t="shared" si="47"/>
        <v>0</v>
      </c>
      <c r="AU151" s="379">
        <f t="shared" si="48"/>
        <v>0</v>
      </c>
      <c r="AV151" s="379">
        <f t="shared" si="49"/>
        <v>0</v>
      </c>
      <c r="AW151" s="379">
        <f t="shared" si="50"/>
        <v>0</v>
      </c>
      <c r="AX151" s="379">
        <f t="shared" si="51"/>
        <v>0</v>
      </c>
      <c r="AY151" s="379">
        <f t="shared" si="52"/>
        <v>0</v>
      </c>
    </row>
    <row r="152" spans="1:51" x14ac:dyDescent="0.2">
      <c r="A152" s="376">
        <v>12850</v>
      </c>
      <c r="B152" s="378" t="str">
        <f t="shared" si="53"/>
        <v>Fairfield (C)</v>
      </c>
      <c r="C152" s="377" t="str">
        <f t="shared" si="6"/>
        <v>WSROC</v>
      </c>
      <c r="D152" s="503" t="str">
        <f t="shared" si="7"/>
        <v>S</v>
      </c>
      <c r="E152" s="503"/>
      <c r="F152"/>
      <c r="G152" s="379">
        <f t="shared" si="8"/>
        <v>207022</v>
      </c>
      <c r="H152" s="379">
        <f t="shared" si="9"/>
        <v>63104</v>
      </c>
      <c r="I152" s="379">
        <f t="shared" si="10"/>
        <v>478.64</v>
      </c>
      <c r="J152" s="379" t="str">
        <f t="shared" si="11"/>
        <v>Y</v>
      </c>
      <c r="K152" s="379">
        <f t="shared" si="12"/>
        <v>57534</v>
      </c>
      <c r="L152" s="379" t="str">
        <f t="shared" si="13"/>
        <v>Y</v>
      </c>
      <c r="M152" s="379">
        <f t="shared" si="14"/>
        <v>63104</v>
      </c>
      <c r="N152" s="379">
        <f t="shared" si="15"/>
        <v>0</v>
      </c>
      <c r="O152" s="379">
        <f t="shared" si="16"/>
        <v>0</v>
      </c>
      <c r="P152" s="379" t="str">
        <f t="shared" si="17"/>
        <v>Y</v>
      </c>
      <c r="Q152" s="379" t="str">
        <f t="shared" si="18"/>
        <v>Y</v>
      </c>
      <c r="R152" s="379" t="str">
        <f t="shared" si="19"/>
        <v>Recycling Drop Off Centre</v>
      </c>
      <c r="S152" s="379">
        <f t="shared" si="20"/>
        <v>0</v>
      </c>
      <c r="T152" s="379">
        <f t="shared" si="21"/>
        <v>0</v>
      </c>
      <c r="U152" s="379">
        <f t="shared" si="22"/>
        <v>0</v>
      </c>
      <c r="V152" s="379">
        <f t="shared" si="23"/>
        <v>0</v>
      </c>
      <c r="W152" s="379">
        <f t="shared" si="24"/>
        <v>0</v>
      </c>
      <c r="X152" s="379">
        <f t="shared" si="25"/>
        <v>0</v>
      </c>
      <c r="Y152" s="379">
        <f t="shared" si="26"/>
        <v>0</v>
      </c>
      <c r="Z152" s="379">
        <f t="shared" si="27"/>
        <v>0</v>
      </c>
      <c r="AA152" s="379">
        <f t="shared" si="28"/>
        <v>0</v>
      </c>
      <c r="AB152" s="379">
        <f t="shared" si="29"/>
        <v>0</v>
      </c>
      <c r="AC152" s="379">
        <f t="shared" si="30"/>
        <v>0</v>
      </c>
      <c r="AD152" s="379">
        <f t="shared" si="31"/>
        <v>0</v>
      </c>
      <c r="AE152" s="379">
        <f t="shared" si="32"/>
        <v>0</v>
      </c>
      <c r="AF152" s="379">
        <f t="shared" si="33"/>
        <v>0</v>
      </c>
      <c r="AG152" s="379">
        <f t="shared" si="34"/>
        <v>0</v>
      </c>
      <c r="AH152" s="379">
        <f t="shared" si="35"/>
        <v>0</v>
      </c>
      <c r="AI152" s="379">
        <f t="shared" si="36"/>
        <v>0</v>
      </c>
      <c r="AJ152" s="379">
        <f t="shared" si="37"/>
        <v>0</v>
      </c>
      <c r="AK152" s="379">
        <f t="shared" si="38"/>
        <v>0</v>
      </c>
      <c r="AL152" s="379">
        <f t="shared" si="39"/>
        <v>0</v>
      </c>
      <c r="AM152" s="379">
        <f t="shared" si="40"/>
        <v>0</v>
      </c>
      <c r="AN152" s="490">
        <f t="shared" si="41"/>
        <v>0</v>
      </c>
      <c r="AO152" s="379">
        <f t="shared" si="42"/>
        <v>0</v>
      </c>
      <c r="AP152" s="379">
        <f t="shared" si="43"/>
        <v>0</v>
      </c>
      <c r="AQ152" s="379">
        <f t="shared" si="44"/>
        <v>0</v>
      </c>
      <c r="AR152" s="379">
        <f t="shared" si="45"/>
        <v>0</v>
      </c>
      <c r="AS152" s="379">
        <f t="shared" si="46"/>
        <v>0</v>
      </c>
      <c r="AT152" s="379">
        <f t="shared" si="47"/>
        <v>0</v>
      </c>
      <c r="AU152" s="379">
        <f t="shared" si="48"/>
        <v>0</v>
      </c>
      <c r="AV152" s="379">
        <f t="shared" si="49"/>
        <v>0</v>
      </c>
      <c r="AW152" s="379">
        <f t="shared" si="50"/>
        <v>0</v>
      </c>
      <c r="AX152" s="379">
        <f t="shared" si="51"/>
        <v>0</v>
      </c>
      <c r="AY152" s="379">
        <f t="shared" si="52"/>
        <v>0</v>
      </c>
    </row>
    <row r="153" spans="1:51" x14ac:dyDescent="0.2">
      <c r="A153" s="376">
        <v>12930</v>
      </c>
      <c r="B153" s="378" t="str">
        <f t="shared" si="53"/>
        <v>Georges River (A)</v>
      </c>
      <c r="C153" s="377" t="str">
        <f t="shared" si="6"/>
        <v>SSROC</v>
      </c>
      <c r="D153" s="503" t="str">
        <f t="shared" si="7"/>
        <v>S</v>
      </c>
      <c r="E153" s="503"/>
      <c r="F153"/>
      <c r="G153" s="379">
        <f t="shared" si="8"/>
        <v>149489</v>
      </c>
      <c r="H153" s="379">
        <f t="shared" si="9"/>
        <v>54667</v>
      </c>
      <c r="I153" s="379">
        <f t="shared" si="10"/>
        <v>405.84</v>
      </c>
      <c r="J153" s="379" t="str">
        <f t="shared" si="11"/>
        <v>Y</v>
      </c>
      <c r="K153" s="379">
        <f t="shared" si="12"/>
        <v>48332</v>
      </c>
      <c r="L153" s="379">
        <f t="shared" si="13"/>
        <v>0</v>
      </c>
      <c r="M153" s="379">
        <f t="shared" si="14"/>
        <v>29154</v>
      </c>
      <c r="N153" s="379">
        <f t="shared" si="15"/>
        <v>18849</v>
      </c>
      <c r="O153" s="379">
        <f t="shared" si="16"/>
        <v>0</v>
      </c>
      <c r="P153" s="379" t="str">
        <f t="shared" si="17"/>
        <v>Y</v>
      </c>
      <c r="Q153" s="379" t="str">
        <f t="shared" si="18"/>
        <v>Y</v>
      </c>
      <c r="R153" s="379" t="str">
        <f t="shared" si="19"/>
        <v>Depot Rd Mortdale</v>
      </c>
      <c r="S153" s="379">
        <f t="shared" si="20"/>
        <v>0</v>
      </c>
      <c r="T153" s="379">
        <f t="shared" si="21"/>
        <v>0</v>
      </c>
      <c r="U153" s="379">
        <f t="shared" si="22"/>
        <v>0</v>
      </c>
      <c r="V153" s="379">
        <f t="shared" si="23"/>
        <v>0</v>
      </c>
      <c r="W153" s="379">
        <f t="shared" si="24"/>
        <v>0</v>
      </c>
      <c r="X153" s="379">
        <f t="shared" si="25"/>
        <v>0</v>
      </c>
      <c r="Y153" s="379">
        <f t="shared" si="26"/>
        <v>0</v>
      </c>
      <c r="Z153" s="379">
        <f t="shared" si="27"/>
        <v>0</v>
      </c>
      <c r="AA153" s="379">
        <f t="shared" si="28"/>
        <v>0</v>
      </c>
      <c r="AB153" s="379">
        <f t="shared" si="29"/>
        <v>0</v>
      </c>
      <c r="AC153" s="379">
        <f t="shared" si="30"/>
        <v>0</v>
      </c>
      <c r="AD153" s="379">
        <f t="shared" si="31"/>
        <v>0</v>
      </c>
      <c r="AE153" s="379">
        <f t="shared" si="32"/>
        <v>0</v>
      </c>
      <c r="AF153" s="379">
        <f t="shared" si="33"/>
        <v>0</v>
      </c>
      <c r="AG153" s="379">
        <f t="shared" si="34"/>
        <v>0</v>
      </c>
      <c r="AH153" s="379">
        <f t="shared" si="35"/>
        <v>0</v>
      </c>
      <c r="AI153" s="379">
        <f t="shared" si="36"/>
        <v>0</v>
      </c>
      <c r="AJ153" s="379">
        <f t="shared" si="37"/>
        <v>0</v>
      </c>
      <c r="AK153" s="379">
        <f t="shared" si="38"/>
        <v>0</v>
      </c>
      <c r="AL153" s="379">
        <f t="shared" si="39"/>
        <v>0</v>
      </c>
      <c r="AM153" s="379">
        <f t="shared" si="40"/>
        <v>0</v>
      </c>
      <c r="AN153" s="490">
        <f t="shared" si="41"/>
        <v>0</v>
      </c>
      <c r="AO153" s="379">
        <f t="shared" si="42"/>
        <v>0</v>
      </c>
      <c r="AP153" s="379">
        <f t="shared" si="43"/>
        <v>0</v>
      </c>
      <c r="AQ153" s="379">
        <f t="shared" si="44"/>
        <v>0</v>
      </c>
      <c r="AR153" s="379">
        <f t="shared" si="45"/>
        <v>0</v>
      </c>
      <c r="AS153" s="379">
        <f t="shared" si="46"/>
        <v>0</v>
      </c>
      <c r="AT153" s="379">
        <f t="shared" si="47"/>
        <v>0</v>
      </c>
      <c r="AU153" s="379">
        <f t="shared" si="48"/>
        <v>0</v>
      </c>
      <c r="AV153" s="379">
        <f t="shared" si="49"/>
        <v>0</v>
      </c>
      <c r="AW153" s="379">
        <f t="shared" si="50"/>
        <v>0</v>
      </c>
      <c r="AX153" s="379">
        <f t="shared" si="51"/>
        <v>0</v>
      </c>
      <c r="AY153" s="379">
        <f t="shared" si="52"/>
        <v>0</v>
      </c>
    </row>
    <row r="154" spans="1:51" x14ac:dyDescent="0.2">
      <c r="A154" s="376">
        <v>14000</v>
      </c>
      <c r="B154" s="378" t="str">
        <f t="shared" si="53"/>
        <v>Hornsby (A)</v>
      </c>
      <c r="C154" s="377" t="str">
        <f t="shared" si="6"/>
        <v>NSROC</v>
      </c>
      <c r="D154" s="503" t="str">
        <f t="shared" si="7"/>
        <v>S</v>
      </c>
      <c r="E154" s="503"/>
      <c r="F154"/>
      <c r="G154" s="379">
        <f t="shared" si="8"/>
        <v>151237</v>
      </c>
      <c r="H154" s="379">
        <f t="shared" si="9"/>
        <v>42686</v>
      </c>
      <c r="I154" s="379">
        <f t="shared" si="10"/>
        <v>436</v>
      </c>
      <c r="J154" s="379" t="str">
        <f t="shared" si="11"/>
        <v>Y</v>
      </c>
      <c r="K154" s="379">
        <f t="shared" si="12"/>
        <v>42706</v>
      </c>
      <c r="L154" s="379">
        <f t="shared" si="13"/>
        <v>0</v>
      </c>
      <c r="M154" s="379">
        <f t="shared" si="14"/>
        <v>42701</v>
      </c>
      <c r="N154" s="379">
        <f t="shared" si="15"/>
        <v>39215</v>
      </c>
      <c r="O154" s="379">
        <f t="shared" si="16"/>
        <v>0</v>
      </c>
      <c r="P154" s="379" t="str">
        <f t="shared" si="17"/>
        <v>Y</v>
      </c>
      <c r="Q154" s="379" t="str">
        <f t="shared" si="18"/>
        <v>Y</v>
      </c>
      <c r="R154" s="379" t="str">
        <f t="shared" si="19"/>
        <v>Thornleigh Depot</v>
      </c>
      <c r="S154" s="379">
        <f t="shared" si="20"/>
        <v>0</v>
      </c>
      <c r="T154" s="379">
        <f t="shared" si="21"/>
        <v>0</v>
      </c>
      <c r="U154" s="379">
        <f t="shared" si="22"/>
        <v>0</v>
      </c>
      <c r="V154" s="379">
        <f t="shared" si="23"/>
        <v>0</v>
      </c>
      <c r="W154" s="379">
        <f t="shared" si="24"/>
        <v>0</v>
      </c>
      <c r="X154" s="379">
        <f t="shared" si="25"/>
        <v>0</v>
      </c>
      <c r="Y154" s="379">
        <f t="shared" si="26"/>
        <v>0</v>
      </c>
      <c r="Z154" s="379">
        <f t="shared" si="27"/>
        <v>0</v>
      </c>
      <c r="AA154" s="379">
        <f t="shared" si="28"/>
        <v>0</v>
      </c>
      <c r="AB154" s="379">
        <f t="shared" si="29"/>
        <v>0</v>
      </c>
      <c r="AC154" s="379">
        <f t="shared" si="30"/>
        <v>0</v>
      </c>
      <c r="AD154" s="379">
        <f t="shared" si="31"/>
        <v>0</v>
      </c>
      <c r="AE154" s="379">
        <f t="shared" si="32"/>
        <v>0</v>
      </c>
      <c r="AF154" s="379">
        <f t="shared" si="33"/>
        <v>0</v>
      </c>
      <c r="AG154" s="379">
        <f t="shared" si="34"/>
        <v>0</v>
      </c>
      <c r="AH154" s="379">
        <f t="shared" si="35"/>
        <v>0</v>
      </c>
      <c r="AI154" s="379">
        <f t="shared" si="36"/>
        <v>0</v>
      </c>
      <c r="AJ154" s="379">
        <f t="shared" si="37"/>
        <v>0</v>
      </c>
      <c r="AK154" s="379">
        <f t="shared" si="38"/>
        <v>0</v>
      </c>
      <c r="AL154" s="379">
        <f t="shared" si="39"/>
        <v>0</v>
      </c>
      <c r="AM154" s="379">
        <f t="shared" si="40"/>
        <v>0</v>
      </c>
      <c r="AN154" s="490">
        <f t="shared" si="41"/>
        <v>0</v>
      </c>
      <c r="AO154" s="379">
        <f t="shared" si="42"/>
        <v>0</v>
      </c>
      <c r="AP154" s="379">
        <f t="shared" si="43"/>
        <v>0</v>
      </c>
      <c r="AQ154" s="379">
        <f t="shared" si="44"/>
        <v>0</v>
      </c>
      <c r="AR154" s="379">
        <f t="shared" si="45"/>
        <v>0</v>
      </c>
      <c r="AS154" s="379">
        <f t="shared" si="46"/>
        <v>0</v>
      </c>
      <c r="AT154" s="379">
        <f t="shared" si="47"/>
        <v>0</v>
      </c>
      <c r="AU154" s="379">
        <f t="shared" si="48"/>
        <v>0</v>
      </c>
      <c r="AV154" s="379">
        <f t="shared" si="49"/>
        <v>0</v>
      </c>
      <c r="AW154" s="379">
        <f t="shared" si="50"/>
        <v>0</v>
      </c>
      <c r="AX154" s="379">
        <f t="shared" si="51"/>
        <v>0</v>
      </c>
      <c r="AY154" s="379">
        <f t="shared" si="52"/>
        <v>0</v>
      </c>
    </row>
    <row r="155" spans="1:51" x14ac:dyDescent="0.2">
      <c r="A155" s="376">
        <v>14100</v>
      </c>
      <c r="B155" s="378" t="str">
        <f t="shared" si="53"/>
        <v>Hunters Hill (A)</v>
      </c>
      <c r="C155" s="377" t="str">
        <f t="shared" si="6"/>
        <v>NSROC</v>
      </c>
      <c r="D155" s="503" t="str">
        <f t="shared" si="7"/>
        <v>S</v>
      </c>
      <c r="E155" s="503"/>
      <c r="F155"/>
      <c r="G155" s="379">
        <f t="shared" si="8"/>
        <v>14843</v>
      </c>
      <c r="H155" s="379">
        <f t="shared" si="9"/>
        <v>4916</v>
      </c>
      <c r="I155" s="379">
        <f t="shared" si="10"/>
        <v>493.95</v>
      </c>
      <c r="J155" s="379" t="str">
        <f t="shared" si="11"/>
        <v>Y</v>
      </c>
      <c r="K155" s="379">
        <f t="shared" si="12"/>
        <v>4402</v>
      </c>
      <c r="L155" s="379">
        <f t="shared" si="13"/>
        <v>0</v>
      </c>
      <c r="M155" s="379">
        <f t="shared" si="14"/>
        <v>4340</v>
      </c>
      <c r="N155" s="379">
        <f t="shared" si="15"/>
        <v>4340</v>
      </c>
      <c r="O155" s="379">
        <f t="shared" si="16"/>
        <v>0</v>
      </c>
      <c r="P155" s="379" t="str">
        <f t="shared" si="17"/>
        <v>Y</v>
      </c>
      <c r="Q155" s="379">
        <f t="shared" si="18"/>
        <v>0</v>
      </c>
      <c r="R155" s="379">
        <f t="shared" si="19"/>
        <v>0</v>
      </c>
      <c r="S155" s="379">
        <f t="shared" si="20"/>
        <v>0</v>
      </c>
      <c r="T155" s="379">
        <f t="shared" si="21"/>
        <v>0</v>
      </c>
      <c r="U155" s="379">
        <f t="shared" si="22"/>
        <v>0</v>
      </c>
      <c r="V155" s="379">
        <f t="shared" si="23"/>
        <v>0</v>
      </c>
      <c r="W155" s="379">
        <f t="shared" si="24"/>
        <v>0</v>
      </c>
      <c r="X155" s="379">
        <f t="shared" si="25"/>
        <v>0</v>
      </c>
      <c r="Y155" s="379">
        <f t="shared" si="26"/>
        <v>0</v>
      </c>
      <c r="Z155" s="379">
        <f t="shared" si="27"/>
        <v>0</v>
      </c>
      <c r="AA155" s="379">
        <f t="shared" si="28"/>
        <v>0</v>
      </c>
      <c r="AB155" s="379">
        <f t="shared" si="29"/>
        <v>0</v>
      </c>
      <c r="AC155" s="379">
        <f t="shared" si="30"/>
        <v>0</v>
      </c>
      <c r="AD155" s="379">
        <f t="shared" si="31"/>
        <v>0</v>
      </c>
      <c r="AE155" s="379">
        <f t="shared" si="32"/>
        <v>0</v>
      </c>
      <c r="AF155" s="379">
        <f t="shared" si="33"/>
        <v>0</v>
      </c>
      <c r="AG155" s="379">
        <f t="shared" si="34"/>
        <v>0</v>
      </c>
      <c r="AH155" s="379">
        <f t="shared" si="35"/>
        <v>0</v>
      </c>
      <c r="AI155" s="379">
        <f t="shared" si="36"/>
        <v>0</v>
      </c>
      <c r="AJ155" s="379">
        <f t="shared" si="37"/>
        <v>0</v>
      </c>
      <c r="AK155" s="379">
        <f t="shared" si="38"/>
        <v>0</v>
      </c>
      <c r="AL155" s="379">
        <f t="shared" si="39"/>
        <v>0</v>
      </c>
      <c r="AM155" s="379">
        <f t="shared" si="40"/>
        <v>0</v>
      </c>
      <c r="AN155" s="490">
        <f t="shared" si="41"/>
        <v>0</v>
      </c>
      <c r="AO155" s="379">
        <f t="shared" si="42"/>
        <v>0</v>
      </c>
      <c r="AP155" s="379">
        <f t="shared" si="43"/>
        <v>0</v>
      </c>
      <c r="AQ155" s="379">
        <f t="shared" si="44"/>
        <v>0</v>
      </c>
      <c r="AR155" s="379">
        <f t="shared" si="45"/>
        <v>0</v>
      </c>
      <c r="AS155" s="379">
        <f t="shared" si="46"/>
        <v>0</v>
      </c>
      <c r="AT155" s="379">
        <f t="shared" si="47"/>
        <v>0</v>
      </c>
      <c r="AU155" s="379">
        <f t="shared" si="48"/>
        <v>0</v>
      </c>
      <c r="AV155" s="379">
        <f t="shared" si="49"/>
        <v>0</v>
      </c>
      <c r="AW155" s="379">
        <f t="shared" si="50"/>
        <v>0</v>
      </c>
      <c r="AX155" s="379">
        <f t="shared" si="51"/>
        <v>0</v>
      </c>
      <c r="AY155" s="379">
        <f t="shared" si="52"/>
        <v>0</v>
      </c>
    </row>
    <row r="156" spans="1:51" x14ac:dyDescent="0.2">
      <c r="A156" s="376">
        <v>14170</v>
      </c>
      <c r="B156" s="378" t="str">
        <f t="shared" si="53"/>
        <v>Inner West (A)</v>
      </c>
      <c r="C156" s="377" t="str">
        <f t="shared" si="6"/>
        <v>SSROC</v>
      </c>
      <c r="D156" s="503" t="str">
        <f t="shared" si="7"/>
        <v>S</v>
      </c>
      <c r="E156" s="503"/>
      <c r="F156"/>
      <c r="G156" s="379">
        <f t="shared" si="8"/>
        <v>189576</v>
      </c>
      <c r="H156" s="379">
        <f t="shared" si="9"/>
        <v>74418</v>
      </c>
      <c r="I156" s="379">
        <f t="shared" si="10"/>
        <v>386.28</v>
      </c>
      <c r="J156" s="379" t="str">
        <f t="shared" si="11"/>
        <v>Y</v>
      </c>
      <c r="K156" s="379">
        <f t="shared" si="12"/>
        <v>72903</v>
      </c>
      <c r="L156" s="379">
        <f t="shared" si="13"/>
        <v>0</v>
      </c>
      <c r="M156" s="379">
        <f t="shared" si="14"/>
        <v>73041</v>
      </c>
      <c r="N156" s="379">
        <f t="shared" si="15"/>
        <v>24104</v>
      </c>
      <c r="O156" s="379">
        <f t="shared" si="16"/>
        <v>618</v>
      </c>
      <c r="P156" s="379" t="str">
        <f t="shared" si="17"/>
        <v>Y</v>
      </c>
      <c r="Q156" s="379" t="str">
        <f t="shared" si="18"/>
        <v>Y</v>
      </c>
      <c r="R156" s="379" t="str">
        <f t="shared" si="19"/>
        <v>Moore St CRC</v>
      </c>
      <c r="S156" s="379">
        <f t="shared" si="20"/>
        <v>0</v>
      </c>
      <c r="T156" s="379">
        <f t="shared" si="21"/>
        <v>0</v>
      </c>
      <c r="U156" s="379">
        <f t="shared" si="22"/>
        <v>0</v>
      </c>
      <c r="V156" s="379">
        <f t="shared" si="23"/>
        <v>0</v>
      </c>
      <c r="W156" s="379">
        <f t="shared" si="24"/>
        <v>0</v>
      </c>
      <c r="X156" s="379">
        <f t="shared" si="25"/>
        <v>0</v>
      </c>
      <c r="Y156" s="379">
        <f t="shared" si="26"/>
        <v>0</v>
      </c>
      <c r="Z156" s="379">
        <f t="shared" si="27"/>
        <v>0</v>
      </c>
      <c r="AA156" s="379">
        <f t="shared" si="28"/>
        <v>0</v>
      </c>
      <c r="AB156" s="379">
        <f t="shared" si="29"/>
        <v>0</v>
      </c>
      <c r="AC156" s="379">
        <f t="shared" si="30"/>
        <v>0</v>
      </c>
      <c r="AD156" s="379">
        <f t="shared" si="31"/>
        <v>0</v>
      </c>
      <c r="AE156" s="379">
        <f t="shared" si="32"/>
        <v>0</v>
      </c>
      <c r="AF156" s="379">
        <f t="shared" si="33"/>
        <v>0</v>
      </c>
      <c r="AG156" s="379">
        <f t="shared" si="34"/>
        <v>0</v>
      </c>
      <c r="AH156" s="379">
        <f t="shared" si="35"/>
        <v>0</v>
      </c>
      <c r="AI156" s="379">
        <f t="shared" si="36"/>
        <v>0</v>
      </c>
      <c r="AJ156" s="379">
        <f t="shared" si="37"/>
        <v>0</v>
      </c>
      <c r="AK156" s="379">
        <f t="shared" si="38"/>
        <v>0</v>
      </c>
      <c r="AL156" s="379">
        <f t="shared" si="39"/>
        <v>0</v>
      </c>
      <c r="AM156" s="379">
        <f t="shared" si="40"/>
        <v>0</v>
      </c>
      <c r="AN156" s="490">
        <f t="shared" si="41"/>
        <v>0</v>
      </c>
      <c r="AO156" s="379">
        <f t="shared" si="42"/>
        <v>0</v>
      </c>
      <c r="AP156" s="379">
        <f t="shared" si="43"/>
        <v>0</v>
      </c>
      <c r="AQ156" s="379">
        <f t="shared" si="44"/>
        <v>0</v>
      </c>
      <c r="AR156" s="379">
        <f t="shared" si="45"/>
        <v>0</v>
      </c>
      <c r="AS156" s="379">
        <f t="shared" si="46"/>
        <v>0</v>
      </c>
      <c r="AT156" s="379">
        <f t="shared" si="47"/>
        <v>0</v>
      </c>
      <c r="AU156" s="379">
        <f t="shared" si="48"/>
        <v>0</v>
      </c>
      <c r="AV156" s="379">
        <f t="shared" si="49"/>
        <v>0</v>
      </c>
      <c r="AW156" s="379">
        <f t="shared" si="50"/>
        <v>0</v>
      </c>
      <c r="AX156" s="379">
        <f t="shared" si="51"/>
        <v>0</v>
      </c>
      <c r="AY156" s="379">
        <f t="shared" si="52"/>
        <v>0</v>
      </c>
    </row>
    <row r="157" spans="1:51" x14ac:dyDescent="0.2">
      <c r="A157" s="376">
        <v>14500</v>
      </c>
      <c r="B157" s="378" t="str">
        <f t="shared" si="53"/>
        <v>Ku-ring-gai (A)</v>
      </c>
      <c r="C157" s="377" t="str">
        <f t="shared" si="6"/>
        <v>NSROC</v>
      </c>
      <c r="D157" s="503" t="str">
        <f t="shared" si="7"/>
        <v>S</v>
      </c>
      <c r="E157" s="503"/>
      <c r="F157"/>
      <c r="G157" s="379">
        <f t="shared" si="8"/>
        <v>124179</v>
      </c>
      <c r="H157" s="379">
        <f t="shared" si="9"/>
        <v>41624</v>
      </c>
      <c r="I157" s="379">
        <f t="shared" si="10"/>
        <v>455</v>
      </c>
      <c r="J157" s="379" t="str">
        <f t="shared" si="11"/>
        <v>Y</v>
      </c>
      <c r="K157" s="379">
        <f t="shared" si="12"/>
        <v>42870</v>
      </c>
      <c r="L157" s="379">
        <f t="shared" si="13"/>
        <v>0</v>
      </c>
      <c r="M157" s="379">
        <f t="shared" si="14"/>
        <v>42870</v>
      </c>
      <c r="N157" s="379">
        <f t="shared" si="15"/>
        <v>35392</v>
      </c>
      <c r="O157" s="379">
        <f t="shared" si="16"/>
        <v>0</v>
      </c>
      <c r="P157" s="379" t="str">
        <f t="shared" si="17"/>
        <v>Y</v>
      </c>
      <c r="Q157" s="379">
        <f t="shared" si="18"/>
        <v>0</v>
      </c>
      <c r="R157" s="379">
        <f t="shared" si="19"/>
        <v>0</v>
      </c>
      <c r="S157" s="379">
        <f t="shared" si="20"/>
        <v>0</v>
      </c>
      <c r="T157" s="379">
        <f t="shared" si="21"/>
        <v>0</v>
      </c>
      <c r="U157" s="379">
        <f t="shared" si="22"/>
        <v>0</v>
      </c>
      <c r="V157" s="379">
        <f t="shared" si="23"/>
        <v>0</v>
      </c>
      <c r="W157" s="379">
        <f t="shared" si="24"/>
        <v>0</v>
      </c>
      <c r="X157" s="379">
        <f t="shared" si="25"/>
        <v>0</v>
      </c>
      <c r="Y157" s="379">
        <f t="shared" si="26"/>
        <v>0</v>
      </c>
      <c r="Z157" s="379">
        <f t="shared" si="27"/>
        <v>0</v>
      </c>
      <c r="AA157" s="379">
        <f t="shared" si="28"/>
        <v>0</v>
      </c>
      <c r="AB157" s="379">
        <f t="shared" si="29"/>
        <v>0</v>
      </c>
      <c r="AC157" s="379">
        <f t="shared" si="30"/>
        <v>0</v>
      </c>
      <c r="AD157" s="379">
        <f t="shared" si="31"/>
        <v>0</v>
      </c>
      <c r="AE157" s="379">
        <f t="shared" si="32"/>
        <v>0</v>
      </c>
      <c r="AF157" s="379">
        <f t="shared" si="33"/>
        <v>0</v>
      </c>
      <c r="AG157" s="379">
        <f t="shared" si="34"/>
        <v>0</v>
      </c>
      <c r="AH157" s="379">
        <f t="shared" si="35"/>
        <v>0</v>
      </c>
      <c r="AI157" s="379">
        <f t="shared" si="36"/>
        <v>0</v>
      </c>
      <c r="AJ157" s="379">
        <f t="shared" si="37"/>
        <v>0</v>
      </c>
      <c r="AK157" s="379">
        <f t="shared" si="38"/>
        <v>0</v>
      </c>
      <c r="AL157" s="379">
        <f t="shared" si="39"/>
        <v>0</v>
      </c>
      <c r="AM157" s="379">
        <f t="shared" si="40"/>
        <v>0</v>
      </c>
      <c r="AN157" s="490">
        <f t="shared" si="41"/>
        <v>0</v>
      </c>
      <c r="AO157" s="379">
        <f t="shared" si="42"/>
        <v>0</v>
      </c>
      <c r="AP157" s="379">
        <f t="shared" si="43"/>
        <v>0</v>
      </c>
      <c r="AQ157" s="379">
        <f t="shared" si="44"/>
        <v>0</v>
      </c>
      <c r="AR157" s="379">
        <f t="shared" si="45"/>
        <v>0</v>
      </c>
      <c r="AS157" s="379">
        <f t="shared" si="46"/>
        <v>0</v>
      </c>
      <c r="AT157" s="379">
        <f t="shared" si="47"/>
        <v>0</v>
      </c>
      <c r="AU157" s="379">
        <f t="shared" si="48"/>
        <v>0</v>
      </c>
      <c r="AV157" s="379">
        <f t="shared" si="49"/>
        <v>0</v>
      </c>
      <c r="AW157" s="379">
        <f t="shared" si="50"/>
        <v>0</v>
      </c>
      <c r="AX157" s="379">
        <f t="shared" si="51"/>
        <v>0</v>
      </c>
      <c r="AY157" s="379">
        <f t="shared" si="52"/>
        <v>0</v>
      </c>
    </row>
    <row r="158" spans="1:51" x14ac:dyDescent="0.2">
      <c r="A158" s="376">
        <v>14700</v>
      </c>
      <c r="B158" s="378" t="str">
        <f t="shared" si="53"/>
        <v>Lane Cove (A)</v>
      </c>
      <c r="C158" s="377" t="str">
        <f t="shared" si="6"/>
        <v>NSROC</v>
      </c>
      <c r="D158" s="503" t="str">
        <f t="shared" si="7"/>
        <v>S</v>
      </c>
      <c r="E158" s="503"/>
      <c r="F158"/>
      <c r="G158" s="379">
        <f t="shared" si="8"/>
        <v>36996</v>
      </c>
      <c r="H158" s="379">
        <f t="shared" si="9"/>
        <v>15942</v>
      </c>
      <c r="I158" s="379">
        <f t="shared" si="10"/>
        <v>425</v>
      </c>
      <c r="J158" s="379" t="str">
        <f t="shared" si="11"/>
        <v>Y</v>
      </c>
      <c r="K158" s="379">
        <f t="shared" si="12"/>
        <v>10880</v>
      </c>
      <c r="L158" s="379">
        <f t="shared" si="13"/>
        <v>0</v>
      </c>
      <c r="M158" s="379">
        <f t="shared" si="14"/>
        <v>15942</v>
      </c>
      <c r="N158" s="379">
        <f t="shared" si="15"/>
        <v>13456</v>
      </c>
      <c r="O158" s="379">
        <f t="shared" si="16"/>
        <v>0</v>
      </c>
      <c r="P158" s="379" t="str">
        <f t="shared" si="17"/>
        <v>Y</v>
      </c>
      <c r="Q158" s="379">
        <f t="shared" si="18"/>
        <v>0</v>
      </c>
      <c r="R158" s="379">
        <f t="shared" si="19"/>
        <v>0</v>
      </c>
      <c r="S158" s="379">
        <f t="shared" si="20"/>
        <v>0</v>
      </c>
      <c r="T158" s="379">
        <f t="shared" si="21"/>
        <v>0</v>
      </c>
      <c r="U158" s="379">
        <f t="shared" si="22"/>
        <v>0</v>
      </c>
      <c r="V158" s="379">
        <f t="shared" si="23"/>
        <v>0</v>
      </c>
      <c r="W158" s="379">
        <f t="shared" si="24"/>
        <v>0</v>
      </c>
      <c r="X158" s="379">
        <f t="shared" si="25"/>
        <v>0</v>
      </c>
      <c r="Y158" s="379">
        <f t="shared" si="26"/>
        <v>0</v>
      </c>
      <c r="Z158" s="379">
        <f t="shared" si="27"/>
        <v>0</v>
      </c>
      <c r="AA158" s="379">
        <f t="shared" si="28"/>
        <v>0</v>
      </c>
      <c r="AB158" s="379">
        <f t="shared" si="29"/>
        <v>0</v>
      </c>
      <c r="AC158" s="379">
        <f t="shared" si="30"/>
        <v>0</v>
      </c>
      <c r="AD158" s="379">
        <f t="shared" si="31"/>
        <v>0</v>
      </c>
      <c r="AE158" s="379">
        <f t="shared" si="32"/>
        <v>0</v>
      </c>
      <c r="AF158" s="379">
        <f t="shared" si="33"/>
        <v>0</v>
      </c>
      <c r="AG158" s="379">
        <f t="shared" si="34"/>
        <v>0</v>
      </c>
      <c r="AH158" s="379">
        <f t="shared" si="35"/>
        <v>0</v>
      </c>
      <c r="AI158" s="379">
        <f t="shared" si="36"/>
        <v>0</v>
      </c>
      <c r="AJ158" s="379">
        <f t="shared" si="37"/>
        <v>0</v>
      </c>
      <c r="AK158" s="379">
        <f t="shared" si="38"/>
        <v>0</v>
      </c>
      <c r="AL158" s="379">
        <f t="shared" si="39"/>
        <v>0</v>
      </c>
      <c r="AM158" s="379">
        <f t="shared" si="40"/>
        <v>0</v>
      </c>
      <c r="AN158" s="490">
        <f t="shared" si="41"/>
        <v>0</v>
      </c>
      <c r="AO158" s="379">
        <f t="shared" si="42"/>
        <v>0</v>
      </c>
      <c r="AP158" s="379">
        <f t="shared" si="43"/>
        <v>0</v>
      </c>
      <c r="AQ158" s="379">
        <f t="shared" si="44"/>
        <v>0</v>
      </c>
      <c r="AR158" s="379">
        <f t="shared" si="45"/>
        <v>0</v>
      </c>
      <c r="AS158" s="379">
        <f t="shared" si="46"/>
        <v>0</v>
      </c>
      <c r="AT158" s="379">
        <f t="shared" si="47"/>
        <v>0</v>
      </c>
      <c r="AU158" s="379">
        <f t="shared" si="48"/>
        <v>0</v>
      </c>
      <c r="AV158" s="379">
        <f t="shared" si="49"/>
        <v>0</v>
      </c>
      <c r="AW158" s="379">
        <f t="shared" si="50"/>
        <v>0</v>
      </c>
      <c r="AX158" s="379">
        <f t="shared" si="51"/>
        <v>0</v>
      </c>
      <c r="AY158" s="379">
        <f t="shared" si="52"/>
        <v>0</v>
      </c>
    </row>
    <row r="159" spans="1:51" x14ac:dyDescent="0.2">
      <c r="A159" s="376">
        <v>14900</v>
      </c>
      <c r="B159" s="378" t="str">
        <f t="shared" si="53"/>
        <v>Liverpool (C)</v>
      </c>
      <c r="C159" s="377" t="str">
        <f t="shared" si="6"/>
        <v>WSROC</v>
      </c>
      <c r="D159" s="503" t="str">
        <f t="shared" si="7"/>
        <v>S</v>
      </c>
      <c r="E159" s="503"/>
      <c r="F159"/>
      <c r="G159" s="379">
        <f t="shared" si="8"/>
        <v>210113</v>
      </c>
      <c r="H159" s="379">
        <f t="shared" si="9"/>
        <v>63921</v>
      </c>
      <c r="I159" s="379">
        <f t="shared" si="10"/>
        <v>411</v>
      </c>
      <c r="J159" s="379" t="str">
        <f t="shared" si="11"/>
        <v>Y</v>
      </c>
      <c r="K159" s="379">
        <f t="shared" si="12"/>
        <v>63985</v>
      </c>
      <c r="L159" s="379" t="str">
        <f t="shared" si="13"/>
        <v>Y</v>
      </c>
      <c r="M159" s="379">
        <f t="shared" si="14"/>
        <v>63043</v>
      </c>
      <c r="N159" s="379">
        <f t="shared" si="15"/>
        <v>52675</v>
      </c>
      <c r="O159" s="379">
        <f t="shared" si="16"/>
        <v>0</v>
      </c>
      <c r="P159" s="379" t="str">
        <f t="shared" si="17"/>
        <v>Y</v>
      </c>
      <c r="Q159" s="379" t="str">
        <f t="shared" si="18"/>
        <v>Y</v>
      </c>
      <c r="R159" s="379" t="str">
        <f t="shared" si="19"/>
        <v>Liverpool CRC</v>
      </c>
      <c r="S159" s="379">
        <f t="shared" si="20"/>
        <v>0</v>
      </c>
      <c r="T159" s="379">
        <f t="shared" si="21"/>
        <v>0</v>
      </c>
      <c r="U159" s="379">
        <f t="shared" si="22"/>
        <v>0</v>
      </c>
      <c r="V159" s="379">
        <f t="shared" si="23"/>
        <v>0</v>
      </c>
      <c r="W159" s="379">
        <f t="shared" si="24"/>
        <v>0</v>
      </c>
      <c r="X159" s="379">
        <f t="shared" si="25"/>
        <v>0</v>
      </c>
      <c r="Y159" s="379">
        <f t="shared" si="26"/>
        <v>0</v>
      </c>
      <c r="Z159" s="379">
        <f t="shared" si="27"/>
        <v>0</v>
      </c>
      <c r="AA159" s="379">
        <f t="shared" si="28"/>
        <v>0</v>
      </c>
      <c r="AB159" s="379">
        <f t="shared" si="29"/>
        <v>0</v>
      </c>
      <c r="AC159" s="379">
        <f t="shared" si="30"/>
        <v>0</v>
      </c>
      <c r="AD159" s="379">
        <f t="shared" si="31"/>
        <v>0</v>
      </c>
      <c r="AE159" s="379">
        <f t="shared" si="32"/>
        <v>0</v>
      </c>
      <c r="AF159" s="379">
        <f t="shared" si="33"/>
        <v>0</v>
      </c>
      <c r="AG159" s="379">
        <f t="shared" si="34"/>
        <v>0</v>
      </c>
      <c r="AH159" s="379">
        <f t="shared" si="35"/>
        <v>0</v>
      </c>
      <c r="AI159" s="379">
        <f t="shared" si="36"/>
        <v>0</v>
      </c>
      <c r="AJ159" s="379">
        <f t="shared" si="37"/>
        <v>0</v>
      </c>
      <c r="AK159" s="379">
        <f t="shared" si="38"/>
        <v>0</v>
      </c>
      <c r="AL159" s="379">
        <f t="shared" si="39"/>
        <v>0</v>
      </c>
      <c r="AM159" s="379">
        <f t="shared" si="40"/>
        <v>0</v>
      </c>
      <c r="AN159" s="490">
        <f t="shared" si="41"/>
        <v>0</v>
      </c>
      <c r="AO159" s="379">
        <f t="shared" si="42"/>
        <v>0</v>
      </c>
      <c r="AP159" s="379">
        <f t="shared" si="43"/>
        <v>0</v>
      </c>
      <c r="AQ159" s="379">
        <f t="shared" si="44"/>
        <v>0</v>
      </c>
      <c r="AR159" s="379">
        <f t="shared" si="45"/>
        <v>0</v>
      </c>
      <c r="AS159" s="379">
        <f t="shared" si="46"/>
        <v>0</v>
      </c>
      <c r="AT159" s="379">
        <f t="shared" si="47"/>
        <v>0</v>
      </c>
      <c r="AU159" s="379">
        <f t="shared" si="48"/>
        <v>0</v>
      </c>
      <c r="AV159" s="379">
        <f t="shared" si="49"/>
        <v>0</v>
      </c>
      <c r="AW159" s="379">
        <f t="shared" si="50"/>
        <v>0</v>
      </c>
      <c r="AX159" s="379">
        <f t="shared" si="51"/>
        <v>0</v>
      </c>
      <c r="AY159" s="379">
        <f t="shared" si="52"/>
        <v>0</v>
      </c>
    </row>
    <row r="160" spans="1:51" x14ac:dyDescent="0.2">
      <c r="A160" s="376">
        <v>15350</v>
      </c>
      <c r="B160" s="378" t="str">
        <f t="shared" si="53"/>
        <v>Mosman (A)</v>
      </c>
      <c r="C160" s="377" t="str">
        <f t="shared" si="6"/>
        <v>NSROC</v>
      </c>
      <c r="D160" s="503" t="str">
        <f t="shared" si="7"/>
        <v>S</v>
      </c>
      <c r="E160" s="503"/>
      <c r="F160"/>
      <c r="G160" s="379">
        <f t="shared" si="8"/>
        <v>30646</v>
      </c>
      <c r="H160" s="379">
        <f t="shared" si="9"/>
        <v>13288</v>
      </c>
      <c r="I160" s="379">
        <f t="shared" si="10"/>
        <v>348</v>
      </c>
      <c r="J160" s="379" t="str">
        <f t="shared" si="11"/>
        <v>Y</v>
      </c>
      <c r="K160" s="379">
        <f t="shared" si="12"/>
        <v>12695</v>
      </c>
      <c r="L160" s="379">
        <f t="shared" si="13"/>
        <v>0</v>
      </c>
      <c r="M160" s="379">
        <f t="shared" si="14"/>
        <v>12695</v>
      </c>
      <c r="N160" s="379">
        <f t="shared" si="15"/>
        <v>12695</v>
      </c>
      <c r="O160" s="379">
        <f t="shared" si="16"/>
        <v>0</v>
      </c>
      <c r="P160" s="379" t="str">
        <f t="shared" si="17"/>
        <v>Y</v>
      </c>
      <c r="Q160" s="379">
        <f t="shared" si="18"/>
        <v>0</v>
      </c>
      <c r="R160" s="379">
        <f t="shared" si="19"/>
        <v>0</v>
      </c>
      <c r="S160" s="379">
        <f t="shared" si="20"/>
        <v>0</v>
      </c>
      <c r="T160" s="379">
        <f t="shared" si="21"/>
        <v>0</v>
      </c>
      <c r="U160" s="379">
        <f t="shared" si="22"/>
        <v>0</v>
      </c>
      <c r="V160" s="379">
        <f t="shared" si="23"/>
        <v>0</v>
      </c>
      <c r="W160" s="379">
        <f t="shared" si="24"/>
        <v>0</v>
      </c>
      <c r="X160" s="379">
        <f t="shared" si="25"/>
        <v>0</v>
      </c>
      <c r="Y160" s="379">
        <f t="shared" si="26"/>
        <v>0</v>
      </c>
      <c r="Z160" s="379">
        <f t="shared" si="27"/>
        <v>0</v>
      </c>
      <c r="AA160" s="379">
        <f t="shared" si="28"/>
        <v>0</v>
      </c>
      <c r="AB160" s="379">
        <f t="shared" si="29"/>
        <v>0</v>
      </c>
      <c r="AC160" s="379">
        <f t="shared" si="30"/>
        <v>0</v>
      </c>
      <c r="AD160" s="379">
        <f t="shared" si="31"/>
        <v>0</v>
      </c>
      <c r="AE160" s="379">
        <f t="shared" si="32"/>
        <v>0</v>
      </c>
      <c r="AF160" s="379">
        <f t="shared" si="33"/>
        <v>0</v>
      </c>
      <c r="AG160" s="379">
        <f t="shared" si="34"/>
        <v>0</v>
      </c>
      <c r="AH160" s="379">
        <f t="shared" si="35"/>
        <v>0</v>
      </c>
      <c r="AI160" s="379">
        <f t="shared" si="36"/>
        <v>0</v>
      </c>
      <c r="AJ160" s="379">
        <f t="shared" si="37"/>
        <v>0</v>
      </c>
      <c r="AK160" s="379">
        <f t="shared" si="38"/>
        <v>0</v>
      </c>
      <c r="AL160" s="379">
        <f t="shared" si="39"/>
        <v>0</v>
      </c>
      <c r="AM160" s="379">
        <f t="shared" si="40"/>
        <v>0</v>
      </c>
      <c r="AN160" s="490">
        <f t="shared" si="41"/>
        <v>0</v>
      </c>
      <c r="AO160" s="379">
        <f t="shared" si="42"/>
        <v>0</v>
      </c>
      <c r="AP160" s="379">
        <f t="shared" si="43"/>
        <v>0</v>
      </c>
      <c r="AQ160" s="379">
        <f t="shared" si="44"/>
        <v>0</v>
      </c>
      <c r="AR160" s="379">
        <f t="shared" si="45"/>
        <v>0</v>
      </c>
      <c r="AS160" s="379">
        <f t="shared" si="46"/>
        <v>0</v>
      </c>
      <c r="AT160" s="379">
        <f t="shared" si="47"/>
        <v>0</v>
      </c>
      <c r="AU160" s="379">
        <f t="shared" si="48"/>
        <v>0</v>
      </c>
      <c r="AV160" s="379">
        <f t="shared" si="49"/>
        <v>0</v>
      </c>
      <c r="AW160" s="379">
        <f t="shared" si="50"/>
        <v>0</v>
      </c>
      <c r="AX160" s="379">
        <f t="shared" si="51"/>
        <v>0</v>
      </c>
      <c r="AY160" s="379">
        <f t="shared" si="52"/>
        <v>0</v>
      </c>
    </row>
    <row r="161" spans="1:51" x14ac:dyDescent="0.2">
      <c r="A161" s="376">
        <v>15950</v>
      </c>
      <c r="B161" s="378" t="str">
        <f t="shared" si="53"/>
        <v>North Sydney (A)</v>
      </c>
      <c r="C161" s="377" t="str">
        <f t="shared" si="6"/>
        <v>NSROC</v>
      </c>
      <c r="D161" s="503" t="str">
        <f t="shared" si="7"/>
        <v>S</v>
      </c>
      <c r="E161" s="503"/>
      <c r="F161"/>
      <c r="G161" s="379">
        <f t="shared" si="8"/>
        <v>73514</v>
      </c>
      <c r="H161" s="379">
        <f t="shared" si="9"/>
        <v>36785</v>
      </c>
      <c r="I161" s="379">
        <f t="shared" si="10"/>
        <v>294</v>
      </c>
      <c r="J161" s="379" t="str">
        <f t="shared" si="11"/>
        <v>Y</v>
      </c>
      <c r="K161" s="379">
        <f t="shared" si="12"/>
        <v>35095</v>
      </c>
      <c r="L161" s="379" t="str">
        <f t="shared" si="13"/>
        <v>Y</v>
      </c>
      <c r="M161" s="379">
        <f t="shared" si="14"/>
        <v>36589</v>
      </c>
      <c r="N161" s="379">
        <f t="shared" si="15"/>
        <v>0</v>
      </c>
      <c r="O161" s="379">
        <f t="shared" si="16"/>
        <v>0</v>
      </c>
      <c r="P161" s="379" t="str">
        <f t="shared" si="17"/>
        <v>Y</v>
      </c>
      <c r="Q161" s="379" t="str">
        <f t="shared" si="18"/>
        <v>Y</v>
      </c>
      <c r="R161" s="379" t="str">
        <f t="shared" si="19"/>
        <v>Coal Loader</v>
      </c>
      <c r="S161" s="379" t="str">
        <f t="shared" si="20"/>
        <v>Northern Sydney CRC</v>
      </c>
      <c r="T161" s="379">
        <f t="shared" si="21"/>
        <v>0</v>
      </c>
      <c r="U161" s="379">
        <f t="shared" si="22"/>
        <v>0</v>
      </c>
      <c r="V161" s="379">
        <f t="shared" si="23"/>
        <v>0</v>
      </c>
      <c r="W161" s="379">
        <f t="shared" si="24"/>
        <v>0</v>
      </c>
      <c r="X161" s="379">
        <f t="shared" si="25"/>
        <v>0</v>
      </c>
      <c r="Y161" s="379">
        <f t="shared" si="26"/>
        <v>0</v>
      </c>
      <c r="Z161" s="379">
        <f t="shared" si="27"/>
        <v>0</v>
      </c>
      <c r="AA161" s="379">
        <f t="shared" si="28"/>
        <v>0</v>
      </c>
      <c r="AB161" s="379">
        <f t="shared" si="29"/>
        <v>0</v>
      </c>
      <c r="AC161" s="379">
        <f t="shared" si="30"/>
        <v>0</v>
      </c>
      <c r="AD161" s="379">
        <f t="shared" si="31"/>
        <v>0</v>
      </c>
      <c r="AE161" s="379">
        <f t="shared" si="32"/>
        <v>0</v>
      </c>
      <c r="AF161" s="379">
        <f t="shared" si="33"/>
        <v>0</v>
      </c>
      <c r="AG161" s="379">
        <f t="shared" si="34"/>
        <v>0</v>
      </c>
      <c r="AH161" s="379">
        <f t="shared" si="35"/>
        <v>0</v>
      </c>
      <c r="AI161" s="379">
        <f t="shared" si="36"/>
        <v>0</v>
      </c>
      <c r="AJ161" s="379">
        <f t="shared" si="37"/>
        <v>0</v>
      </c>
      <c r="AK161" s="379">
        <f t="shared" si="38"/>
        <v>0</v>
      </c>
      <c r="AL161" s="379">
        <f t="shared" si="39"/>
        <v>0</v>
      </c>
      <c r="AM161" s="379">
        <f t="shared" si="40"/>
        <v>0</v>
      </c>
      <c r="AN161" s="490">
        <f t="shared" si="41"/>
        <v>0</v>
      </c>
      <c r="AO161" s="379">
        <f t="shared" si="42"/>
        <v>0</v>
      </c>
      <c r="AP161" s="379">
        <f t="shared" si="43"/>
        <v>0</v>
      </c>
      <c r="AQ161" s="379">
        <f t="shared" si="44"/>
        <v>0</v>
      </c>
      <c r="AR161" s="379">
        <f t="shared" si="45"/>
        <v>0</v>
      </c>
      <c r="AS161" s="379">
        <f t="shared" si="46"/>
        <v>0</v>
      </c>
      <c r="AT161" s="379">
        <f t="shared" si="47"/>
        <v>0</v>
      </c>
      <c r="AU161" s="379">
        <f t="shared" si="48"/>
        <v>0</v>
      </c>
      <c r="AV161" s="379">
        <f t="shared" si="49"/>
        <v>0</v>
      </c>
      <c r="AW161" s="379">
        <f t="shared" si="50"/>
        <v>0</v>
      </c>
      <c r="AX161" s="379">
        <f t="shared" si="51"/>
        <v>0</v>
      </c>
      <c r="AY161" s="379">
        <f t="shared" si="52"/>
        <v>0</v>
      </c>
    </row>
    <row r="162" spans="1:51" x14ac:dyDescent="0.2">
      <c r="A162" s="376">
        <v>15990</v>
      </c>
      <c r="B162" s="378" t="str">
        <f t="shared" si="53"/>
        <v>Northern Beaches (A)</v>
      </c>
      <c r="C162" s="377">
        <f t="shared" si="6"/>
        <v>0</v>
      </c>
      <c r="D162" s="503" t="str">
        <f t="shared" si="7"/>
        <v>S</v>
      </c>
      <c r="E162" s="503"/>
      <c r="F162"/>
      <c r="G162" s="379">
        <f t="shared" si="8"/>
        <v>268849</v>
      </c>
      <c r="H162" s="379">
        <f t="shared" si="9"/>
        <v>97067</v>
      </c>
      <c r="I162" s="379">
        <f t="shared" si="10"/>
        <v>609.33000000000004</v>
      </c>
      <c r="J162" s="379" t="str">
        <f t="shared" si="11"/>
        <v>Y</v>
      </c>
      <c r="K162" s="379">
        <f t="shared" si="12"/>
        <v>96847</v>
      </c>
      <c r="L162" s="379">
        <f t="shared" si="13"/>
        <v>0</v>
      </c>
      <c r="M162" s="379">
        <f t="shared" si="14"/>
        <v>93431</v>
      </c>
      <c r="N162" s="379">
        <f t="shared" si="15"/>
        <v>93303</v>
      </c>
      <c r="O162" s="379">
        <f t="shared" si="16"/>
        <v>0</v>
      </c>
      <c r="P162" s="379" t="str">
        <f t="shared" si="17"/>
        <v>Y</v>
      </c>
      <c r="Q162" s="379" t="str">
        <f t="shared" si="18"/>
        <v>Y</v>
      </c>
      <c r="R162" s="379" t="str">
        <f t="shared" si="19"/>
        <v>Kimbriki - Vegetation</v>
      </c>
      <c r="S162" s="379" t="str">
        <f t="shared" si="20"/>
        <v>Kimbriki - eWaste</v>
      </c>
      <c r="T162" s="379" t="str">
        <f t="shared" si="21"/>
        <v>Kimbriki - Charity</v>
      </c>
      <c r="U162" s="379">
        <f t="shared" si="22"/>
        <v>0</v>
      </c>
      <c r="V162" s="379">
        <f t="shared" si="23"/>
        <v>0</v>
      </c>
      <c r="W162" s="379">
        <f t="shared" si="24"/>
        <v>0</v>
      </c>
      <c r="X162" s="379">
        <f t="shared" si="25"/>
        <v>0</v>
      </c>
      <c r="Y162" s="379">
        <f t="shared" si="26"/>
        <v>0</v>
      </c>
      <c r="Z162" s="379">
        <f t="shared" si="27"/>
        <v>0</v>
      </c>
      <c r="AA162" s="379">
        <f t="shared" si="28"/>
        <v>0</v>
      </c>
      <c r="AB162" s="379">
        <f t="shared" si="29"/>
        <v>0</v>
      </c>
      <c r="AC162" s="379">
        <f t="shared" si="30"/>
        <v>0</v>
      </c>
      <c r="AD162" s="379">
        <f t="shared" si="31"/>
        <v>0</v>
      </c>
      <c r="AE162" s="379">
        <f t="shared" si="32"/>
        <v>0</v>
      </c>
      <c r="AF162" s="379">
        <f t="shared" si="33"/>
        <v>0</v>
      </c>
      <c r="AG162" s="379">
        <f t="shared" si="34"/>
        <v>0</v>
      </c>
      <c r="AH162" s="379">
        <f t="shared" si="35"/>
        <v>0</v>
      </c>
      <c r="AI162" s="379">
        <f t="shared" si="36"/>
        <v>0</v>
      </c>
      <c r="AJ162" s="379">
        <f t="shared" si="37"/>
        <v>0</v>
      </c>
      <c r="AK162" s="379">
        <f t="shared" si="38"/>
        <v>0</v>
      </c>
      <c r="AL162" s="379">
        <f t="shared" si="39"/>
        <v>0</v>
      </c>
      <c r="AM162" s="379">
        <f t="shared" si="40"/>
        <v>0</v>
      </c>
      <c r="AN162" s="490">
        <f t="shared" si="41"/>
        <v>0</v>
      </c>
      <c r="AO162" s="379">
        <f t="shared" si="42"/>
        <v>0</v>
      </c>
      <c r="AP162" s="379">
        <f t="shared" si="43"/>
        <v>0</v>
      </c>
      <c r="AQ162" s="379">
        <f t="shared" si="44"/>
        <v>0</v>
      </c>
      <c r="AR162" s="379">
        <f t="shared" si="45"/>
        <v>0</v>
      </c>
      <c r="AS162" s="379">
        <f t="shared" si="46"/>
        <v>0</v>
      </c>
      <c r="AT162" s="379">
        <f t="shared" si="47"/>
        <v>0</v>
      </c>
      <c r="AU162" s="379">
        <f t="shared" si="48"/>
        <v>0</v>
      </c>
      <c r="AV162" s="379">
        <f t="shared" si="49"/>
        <v>0</v>
      </c>
      <c r="AW162" s="379">
        <f t="shared" si="50"/>
        <v>0</v>
      </c>
      <c r="AX162" s="379">
        <f t="shared" si="51"/>
        <v>0</v>
      </c>
      <c r="AY162" s="379">
        <f t="shared" si="52"/>
        <v>0</v>
      </c>
    </row>
    <row r="163" spans="1:51" x14ac:dyDescent="0.2">
      <c r="A163" s="376">
        <v>16260</v>
      </c>
      <c r="B163" s="378" t="str">
        <f t="shared" si="53"/>
        <v>Parramatta (C)</v>
      </c>
      <c r="C163" s="377" t="str">
        <f t="shared" si="6"/>
        <v>WSROC</v>
      </c>
      <c r="D163" s="503" t="str">
        <f t="shared" si="7"/>
        <v>S</v>
      </c>
      <c r="E163" s="503"/>
      <c r="F163"/>
      <c r="G163" s="379">
        <f t="shared" si="8"/>
        <v>235981</v>
      </c>
      <c r="H163" s="379">
        <f t="shared" si="9"/>
        <v>65000</v>
      </c>
      <c r="I163" s="379">
        <f t="shared" si="10"/>
        <v>403.5</v>
      </c>
      <c r="J163" s="379" t="str">
        <f t="shared" si="11"/>
        <v>Y</v>
      </c>
      <c r="K163" s="379">
        <f t="shared" si="12"/>
        <v>61908</v>
      </c>
      <c r="L163" s="379" t="str">
        <f t="shared" si="13"/>
        <v>Y</v>
      </c>
      <c r="M163" s="379">
        <f t="shared" si="14"/>
        <v>54263</v>
      </c>
      <c r="N163" s="379">
        <f t="shared" si="15"/>
        <v>38949</v>
      </c>
      <c r="O163" s="379">
        <f t="shared" si="16"/>
        <v>0</v>
      </c>
      <c r="P163" s="379" t="str">
        <f t="shared" si="17"/>
        <v>Y</v>
      </c>
      <c r="Q163" s="379">
        <f t="shared" si="18"/>
        <v>0</v>
      </c>
      <c r="R163" s="379">
        <f t="shared" si="19"/>
        <v>0</v>
      </c>
      <c r="S163" s="379">
        <f t="shared" si="20"/>
        <v>0</v>
      </c>
      <c r="T163" s="379">
        <f t="shared" si="21"/>
        <v>0</v>
      </c>
      <c r="U163" s="379">
        <f t="shared" si="22"/>
        <v>0</v>
      </c>
      <c r="V163" s="379">
        <f t="shared" si="23"/>
        <v>0</v>
      </c>
      <c r="W163" s="379">
        <f t="shared" si="24"/>
        <v>0</v>
      </c>
      <c r="X163" s="379">
        <f t="shared" si="25"/>
        <v>0</v>
      </c>
      <c r="Y163" s="379">
        <f t="shared" si="26"/>
        <v>0</v>
      </c>
      <c r="Z163" s="379">
        <f t="shared" si="27"/>
        <v>0</v>
      </c>
      <c r="AA163" s="379">
        <f t="shared" si="28"/>
        <v>0</v>
      </c>
      <c r="AB163" s="379">
        <f t="shared" si="29"/>
        <v>0</v>
      </c>
      <c r="AC163" s="379">
        <f t="shared" si="30"/>
        <v>0</v>
      </c>
      <c r="AD163" s="379">
        <f t="shared" si="31"/>
        <v>0</v>
      </c>
      <c r="AE163" s="379">
        <f t="shared" si="32"/>
        <v>0</v>
      </c>
      <c r="AF163" s="379">
        <f t="shared" si="33"/>
        <v>0</v>
      </c>
      <c r="AG163" s="379">
        <f t="shared" si="34"/>
        <v>0</v>
      </c>
      <c r="AH163" s="379">
        <f t="shared" si="35"/>
        <v>0</v>
      </c>
      <c r="AI163" s="379">
        <f t="shared" si="36"/>
        <v>0</v>
      </c>
      <c r="AJ163" s="379">
        <f t="shared" si="37"/>
        <v>0</v>
      </c>
      <c r="AK163" s="379">
        <f t="shared" si="38"/>
        <v>0</v>
      </c>
      <c r="AL163" s="379">
        <f t="shared" si="39"/>
        <v>0</v>
      </c>
      <c r="AM163" s="379">
        <f t="shared" si="40"/>
        <v>0</v>
      </c>
      <c r="AN163" s="490">
        <f t="shared" si="41"/>
        <v>0</v>
      </c>
      <c r="AO163" s="379">
        <f t="shared" si="42"/>
        <v>0</v>
      </c>
      <c r="AP163" s="379">
        <f t="shared" si="43"/>
        <v>0</v>
      </c>
      <c r="AQ163" s="379">
        <f t="shared" si="44"/>
        <v>0</v>
      </c>
      <c r="AR163" s="379">
        <f t="shared" si="45"/>
        <v>0</v>
      </c>
      <c r="AS163" s="379">
        <f t="shared" si="46"/>
        <v>0</v>
      </c>
      <c r="AT163" s="379">
        <f t="shared" si="47"/>
        <v>0</v>
      </c>
      <c r="AU163" s="379">
        <f t="shared" si="48"/>
        <v>0</v>
      </c>
      <c r="AV163" s="379">
        <f t="shared" si="49"/>
        <v>0</v>
      </c>
      <c r="AW163" s="379">
        <f t="shared" si="50"/>
        <v>0</v>
      </c>
      <c r="AX163" s="379">
        <f t="shared" si="51"/>
        <v>0</v>
      </c>
      <c r="AY163" s="379">
        <f t="shared" si="52"/>
        <v>0</v>
      </c>
    </row>
    <row r="164" spans="1:51" x14ac:dyDescent="0.2">
      <c r="A164" s="376">
        <v>16350</v>
      </c>
      <c r="B164" s="378" t="str">
        <f t="shared" si="53"/>
        <v>Penrith (C)</v>
      </c>
      <c r="C164" s="377" t="str">
        <f t="shared" si="6"/>
        <v>WSROC</v>
      </c>
      <c r="D164" s="503" t="str">
        <f t="shared" si="7"/>
        <v>S</v>
      </c>
      <c r="E164" s="503"/>
      <c r="F164"/>
      <c r="G164" s="379">
        <f t="shared" si="8"/>
        <v>202076</v>
      </c>
      <c r="H164" s="379">
        <f t="shared" si="9"/>
        <v>72414</v>
      </c>
      <c r="I164" s="379">
        <f t="shared" si="10"/>
        <v>384</v>
      </c>
      <c r="J164" s="379" t="str">
        <f t="shared" si="11"/>
        <v>Y</v>
      </c>
      <c r="K164" s="379">
        <f t="shared" si="12"/>
        <v>72414</v>
      </c>
      <c r="L164" s="379" t="str">
        <f t="shared" si="13"/>
        <v>Y</v>
      </c>
      <c r="M164" s="379">
        <f t="shared" si="14"/>
        <v>72414</v>
      </c>
      <c r="N164" s="379">
        <f t="shared" si="15"/>
        <v>0</v>
      </c>
      <c r="O164" s="379">
        <f t="shared" si="16"/>
        <v>56140</v>
      </c>
      <c r="P164" s="379" t="str">
        <f t="shared" si="17"/>
        <v>Y</v>
      </c>
      <c r="Q164" s="379" t="str">
        <f t="shared" si="18"/>
        <v>Y</v>
      </c>
      <c r="R164" s="379" t="str">
        <f t="shared" si="19"/>
        <v>Libraries</v>
      </c>
      <c r="S164" s="379">
        <f t="shared" si="20"/>
        <v>0</v>
      </c>
      <c r="T164" s="379">
        <f t="shared" si="21"/>
        <v>0</v>
      </c>
      <c r="U164" s="379">
        <f t="shared" si="22"/>
        <v>0</v>
      </c>
      <c r="V164" s="379">
        <f t="shared" si="23"/>
        <v>0</v>
      </c>
      <c r="W164" s="379">
        <f t="shared" si="24"/>
        <v>0</v>
      </c>
      <c r="X164" s="379">
        <f t="shared" si="25"/>
        <v>0</v>
      </c>
      <c r="Y164" s="379">
        <f t="shared" si="26"/>
        <v>0</v>
      </c>
      <c r="Z164" s="379">
        <f t="shared" si="27"/>
        <v>0</v>
      </c>
      <c r="AA164" s="379">
        <f t="shared" si="28"/>
        <v>0</v>
      </c>
      <c r="AB164" s="379">
        <f t="shared" si="29"/>
        <v>0</v>
      </c>
      <c r="AC164" s="379">
        <f t="shared" si="30"/>
        <v>0</v>
      </c>
      <c r="AD164" s="379">
        <f t="shared" si="31"/>
        <v>0</v>
      </c>
      <c r="AE164" s="379">
        <f t="shared" si="32"/>
        <v>0</v>
      </c>
      <c r="AF164" s="379">
        <f t="shared" si="33"/>
        <v>0</v>
      </c>
      <c r="AG164" s="379">
        <f t="shared" si="34"/>
        <v>0</v>
      </c>
      <c r="AH164" s="379">
        <f t="shared" si="35"/>
        <v>0</v>
      </c>
      <c r="AI164" s="379">
        <f t="shared" si="36"/>
        <v>0</v>
      </c>
      <c r="AJ164" s="379">
        <f t="shared" si="37"/>
        <v>0</v>
      </c>
      <c r="AK164" s="379">
        <f t="shared" si="38"/>
        <v>0</v>
      </c>
      <c r="AL164" s="379">
        <f t="shared" si="39"/>
        <v>0</v>
      </c>
      <c r="AM164" s="379">
        <f t="shared" si="40"/>
        <v>0</v>
      </c>
      <c r="AN164" s="490">
        <f t="shared" si="41"/>
        <v>0</v>
      </c>
      <c r="AO164" s="379">
        <f t="shared" si="42"/>
        <v>0</v>
      </c>
      <c r="AP164" s="379">
        <f t="shared" si="43"/>
        <v>0</v>
      </c>
      <c r="AQ164" s="379">
        <f t="shared" si="44"/>
        <v>0</v>
      </c>
      <c r="AR164" s="379">
        <f t="shared" si="45"/>
        <v>0</v>
      </c>
      <c r="AS164" s="379">
        <f t="shared" si="46"/>
        <v>0</v>
      </c>
      <c r="AT164" s="379">
        <f t="shared" si="47"/>
        <v>0</v>
      </c>
      <c r="AU164" s="379">
        <f t="shared" si="48"/>
        <v>0</v>
      </c>
      <c r="AV164" s="379">
        <f t="shared" si="49"/>
        <v>0</v>
      </c>
      <c r="AW164" s="379">
        <f t="shared" si="50"/>
        <v>0</v>
      </c>
      <c r="AX164" s="379">
        <f t="shared" si="51"/>
        <v>0</v>
      </c>
      <c r="AY164" s="379">
        <f t="shared" si="52"/>
        <v>0</v>
      </c>
    </row>
    <row r="165" spans="1:51" x14ac:dyDescent="0.2">
      <c r="A165" s="376">
        <v>16550</v>
      </c>
      <c r="B165" s="378" t="str">
        <f t="shared" si="53"/>
        <v>Randwick (C)</v>
      </c>
      <c r="C165" s="377" t="str">
        <f t="shared" si="6"/>
        <v>SSROC</v>
      </c>
      <c r="D165" s="503" t="str">
        <f t="shared" si="7"/>
        <v>S</v>
      </c>
      <c r="E165" s="503"/>
      <c r="F165"/>
      <c r="G165" s="379">
        <f t="shared" si="8"/>
        <v>147408</v>
      </c>
      <c r="H165" s="379">
        <f t="shared" si="9"/>
        <v>57679</v>
      </c>
      <c r="I165" s="379">
        <f t="shared" si="10"/>
        <v>543</v>
      </c>
      <c r="J165" s="379" t="str">
        <f t="shared" si="11"/>
        <v>Y</v>
      </c>
      <c r="K165" s="379">
        <f t="shared" si="12"/>
        <v>40605</v>
      </c>
      <c r="L165" s="379" t="str">
        <f t="shared" si="13"/>
        <v>Y</v>
      </c>
      <c r="M165" s="379">
        <f t="shared" si="14"/>
        <v>41710</v>
      </c>
      <c r="N165" s="379">
        <f t="shared" si="15"/>
        <v>30443</v>
      </c>
      <c r="O165" s="379">
        <f t="shared" si="16"/>
        <v>0</v>
      </c>
      <c r="P165" s="379" t="str">
        <f t="shared" si="17"/>
        <v>Y</v>
      </c>
      <c r="Q165" s="379" t="str">
        <f t="shared" si="18"/>
        <v>Y</v>
      </c>
      <c r="R165" s="379" t="str">
        <f t="shared" si="19"/>
        <v>Randwick Recycling Centre</v>
      </c>
      <c r="S165" s="379">
        <f t="shared" si="20"/>
        <v>0</v>
      </c>
      <c r="T165" s="379">
        <f t="shared" si="21"/>
        <v>0</v>
      </c>
      <c r="U165" s="379">
        <f t="shared" si="22"/>
        <v>0</v>
      </c>
      <c r="V165" s="379">
        <f t="shared" si="23"/>
        <v>0</v>
      </c>
      <c r="W165" s="379">
        <f t="shared" si="24"/>
        <v>0</v>
      </c>
      <c r="X165" s="379">
        <f t="shared" si="25"/>
        <v>0</v>
      </c>
      <c r="Y165" s="379">
        <f t="shared" si="26"/>
        <v>0</v>
      </c>
      <c r="Z165" s="379">
        <f t="shared" si="27"/>
        <v>0</v>
      </c>
      <c r="AA165" s="379">
        <f t="shared" si="28"/>
        <v>0</v>
      </c>
      <c r="AB165" s="379">
        <f t="shared" si="29"/>
        <v>0</v>
      </c>
      <c r="AC165" s="379">
        <f t="shared" si="30"/>
        <v>0</v>
      </c>
      <c r="AD165" s="379">
        <f t="shared" si="31"/>
        <v>0</v>
      </c>
      <c r="AE165" s="379">
        <f t="shared" si="32"/>
        <v>0</v>
      </c>
      <c r="AF165" s="379">
        <f t="shared" si="33"/>
        <v>0</v>
      </c>
      <c r="AG165" s="379">
        <f t="shared" si="34"/>
        <v>0</v>
      </c>
      <c r="AH165" s="379">
        <f t="shared" si="35"/>
        <v>0</v>
      </c>
      <c r="AI165" s="379">
        <f t="shared" si="36"/>
        <v>0</v>
      </c>
      <c r="AJ165" s="379">
        <f t="shared" si="37"/>
        <v>0</v>
      </c>
      <c r="AK165" s="379">
        <f t="shared" si="38"/>
        <v>0</v>
      </c>
      <c r="AL165" s="379">
        <f t="shared" si="39"/>
        <v>0</v>
      </c>
      <c r="AM165" s="379">
        <f t="shared" si="40"/>
        <v>0</v>
      </c>
      <c r="AN165" s="490">
        <f t="shared" si="41"/>
        <v>0</v>
      </c>
      <c r="AO165" s="379">
        <f t="shared" si="42"/>
        <v>0</v>
      </c>
      <c r="AP165" s="379">
        <f t="shared" si="43"/>
        <v>0</v>
      </c>
      <c r="AQ165" s="379">
        <f t="shared" si="44"/>
        <v>0</v>
      </c>
      <c r="AR165" s="379">
        <f t="shared" si="45"/>
        <v>0</v>
      </c>
      <c r="AS165" s="379">
        <f t="shared" si="46"/>
        <v>0</v>
      </c>
      <c r="AT165" s="379">
        <f t="shared" si="47"/>
        <v>0</v>
      </c>
      <c r="AU165" s="379">
        <f t="shared" si="48"/>
        <v>0</v>
      </c>
      <c r="AV165" s="379">
        <f t="shared" si="49"/>
        <v>0</v>
      </c>
      <c r="AW165" s="379">
        <f t="shared" si="50"/>
        <v>0</v>
      </c>
      <c r="AX165" s="379">
        <f t="shared" si="51"/>
        <v>0</v>
      </c>
      <c r="AY165" s="379">
        <f t="shared" si="52"/>
        <v>0</v>
      </c>
    </row>
    <row r="166" spans="1:51" x14ac:dyDescent="0.2">
      <c r="A166" s="376">
        <v>16700</v>
      </c>
      <c r="B166" s="378" t="str">
        <f t="shared" si="53"/>
        <v>Ryde (C)</v>
      </c>
      <c r="C166" s="377" t="str">
        <f t="shared" si="6"/>
        <v>NSROC</v>
      </c>
      <c r="D166" s="503" t="str">
        <f t="shared" si="7"/>
        <v>S</v>
      </c>
      <c r="E166" s="503"/>
      <c r="F166"/>
      <c r="G166" s="379">
        <f t="shared" si="8"/>
        <v>119544</v>
      </c>
      <c r="H166" s="379">
        <f t="shared" si="9"/>
        <v>45866</v>
      </c>
      <c r="I166" s="379">
        <f t="shared" si="10"/>
        <v>432</v>
      </c>
      <c r="J166" s="379" t="str">
        <f t="shared" si="11"/>
        <v>Y</v>
      </c>
      <c r="K166" s="379">
        <f t="shared" si="12"/>
        <v>33177</v>
      </c>
      <c r="L166" s="379">
        <f t="shared" si="13"/>
        <v>0</v>
      </c>
      <c r="M166" s="379">
        <f t="shared" si="14"/>
        <v>34185</v>
      </c>
      <c r="N166" s="379">
        <f t="shared" si="15"/>
        <v>27527</v>
      </c>
      <c r="O166" s="379">
        <f t="shared" si="16"/>
        <v>0</v>
      </c>
      <c r="P166" s="379" t="str">
        <f t="shared" si="17"/>
        <v>Y</v>
      </c>
      <c r="Q166" s="379" t="str">
        <f t="shared" si="18"/>
        <v>Y</v>
      </c>
      <c r="R166" s="379" t="str">
        <f t="shared" si="19"/>
        <v>Mobile Recycle Unit</v>
      </c>
      <c r="S166" s="379">
        <f t="shared" si="20"/>
        <v>0</v>
      </c>
      <c r="T166" s="379">
        <f t="shared" si="21"/>
        <v>0</v>
      </c>
      <c r="U166" s="379">
        <f t="shared" si="22"/>
        <v>0</v>
      </c>
      <c r="V166" s="379">
        <f t="shared" si="23"/>
        <v>0</v>
      </c>
      <c r="W166" s="379">
        <f t="shared" si="24"/>
        <v>0</v>
      </c>
      <c r="X166" s="379">
        <f t="shared" si="25"/>
        <v>0</v>
      </c>
      <c r="Y166" s="379">
        <f t="shared" si="26"/>
        <v>0</v>
      </c>
      <c r="Z166" s="379">
        <f t="shared" si="27"/>
        <v>0</v>
      </c>
      <c r="AA166" s="379">
        <f t="shared" si="28"/>
        <v>0</v>
      </c>
      <c r="AB166" s="379">
        <f t="shared" si="29"/>
        <v>0</v>
      </c>
      <c r="AC166" s="379">
        <f t="shared" si="30"/>
        <v>0</v>
      </c>
      <c r="AD166" s="379">
        <f t="shared" si="31"/>
        <v>0</v>
      </c>
      <c r="AE166" s="379">
        <f t="shared" si="32"/>
        <v>0</v>
      </c>
      <c r="AF166" s="379">
        <f t="shared" si="33"/>
        <v>0</v>
      </c>
      <c r="AG166" s="379">
        <f t="shared" si="34"/>
        <v>0</v>
      </c>
      <c r="AH166" s="379">
        <f t="shared" si="35"/>
        <v>0</v>
      </c>
      <c r="AI166" s="379">
        <f t="shared" si="36"/>
        <v>0</v>
      </c>
      <c r="AJ166" s="379">
        <f t="shared" si="37"/>
        <v>0</v>
      </c>
      <c r="AK166" s="379">
        <f t="shared" si="38"/>
        <v>0</v>
      </c>
      <c r="AL166" s="379">
        <f t="shared" si="39"/>
        <v>0</v>
      </c>
      <c r="AM166" s="379">
        <f t="shared" si="40"/>
        <v>0</v>
      </c>
      <c r="AN166" s="490">
        <f t="shared" si="41"/>
        <v>0</v>
      </c>
      <c r="AO166" s="379">
        <f t="shared" si="42"/>
        <v>0</v>
      </c>
      <c r="AP166" s="379">
        <f t="shared" si="43"/>
        <v>0</v>
      </c>
      <c r="AQ166" s="379">
        <f t="shared" si="44"/>
        <v>0</v>
      </c>
      <c r="AR166" s="379">
        <f t="shared" si="45"/>
        <v>0</v>
      </c>
      <c r="AS166" s="379">
        <f t="shared" si="46"/>
        <v>0</v>
      </c>
      <c r="AT166" s="379">
        <f t="shared" si="47"/>
        <v>0</v>
      </c>
      <c r="AU166" s="379">
        <f t="shared" si="48"/>
        <v>0</v>
      </c>
      <c r="AV166" s="379">
        <f t="shared" si="49"/>
        <v>0</v>
      </c>
      <c r="AW166" s="379">
        <f t="shared" si="50"/>
        <v>0</v>
      </c>
      <c r="AX166" s="379">
        <f t="shared" si="51"/>
        <v>0</v>
      </c>
      <c r="AY166" s="379">
        <f t="shared" si="52"/>
        <v>0</v>
      </c>
    </row>
    <row r="167" spans="1:51" x14ac:dyDescent="0.2">
      <c r="A167" s="376">
        <v>17100</v>
      </c>
      <c r="B167" s="378" t="str">
        <f t="shared" si="53"/>
        <v>Strathfield (A)</v>
      </c>
      <c r="C167" s="377">
        <f t="shared" si="6"/>
        <v>0</v>
      </c>
      <c r="D167" s="503" t="str">
        <f t="shared" si="7"/>
        <v>S</v>
      </c>
      <c r="E167" s="503"/>
      <c r="F167"/>
      <c r="G167" s="379">
        <f t="shared" si="8"/>
        <v>40963</v>
      </c>
      <c r="H167" s="379">
        <f t="shared" si="9"/>
        <v>11642</v>
      </c>
      <c r="I167" s="379">
        <f t="shared" si="10"/>
        <v>705</v>
      </c>
      <c r="J167" s="379" t="str">
        <f t="shared" si="11"/>
        <v>Y</v>
      </c>
      <c r="K167" s="379">
        <f t="shared" si="12"/>
        <v>8863</v>
      </c>
      <c r="L167" s="379">
        <f t="shared" si="13"/>
        <v>0</v>
      </c>
      <c r="M167" s="379">
        <f t="shared" si="14"/>
        <v>7627</v>
      </c>
      <c r="N167" s="379">
        <f t="shared" si="15"/>
        <v>3946</v>
      </c>
      <c r="O167" s="379">
        <f t="shared" si="16"/>
        <v>0</v>
      </c>
      <c r="P167" s="379" t="str">
        <f t="shared" si="17"/>
        <v>Y</v>
      </c>
      <c r="Q167" s="379">
        <f t="shared" si="18"/>
        <v>0</v>
      </c>
      <c r="R167" s="379">
        <f t="shared" si="19"/>
        <v>0</v>
      </c>
      <c r="S167" s="379">
        <f t="shared" si="20"/>
        <v>0</v>
      </c>
      <c r="T167" s="379">
        <f t="shared" si="21"/>
        <v>0</v>
      </c>
      <c r="U167" s="379">
        <f t="shared" si="22"/>
        <v>0</v>
      </c>
      <c r="V167" s="379">
        <f t="shared" si="23"/>
        <v>0</v>
      </c>
      <c r="W167" s="379">
        <f t="shared" si="24"/>
        <v>0</v>
      </c>
      <c r="X167" s="379">
        <f t="shared" si="25"/>
        <v>0</v>
      </c>
      <c r="Y167" s="379">
        <f t="shared" si="26"/>
        <v>0</v>
      </c>
      <c r="Z167" s="379">
        <f t="shared" si="27"/>
        <v>0</v>
      </c>
      <c r="AA167" s="379">
        <f t="shared" si="28"/>
        <v>0</v>
      </c>
      <c r="AB167" s="379">
        <f t="shared" si="29"/>
        <v>0</v>
      </c>
      <c r="AC167" s="379">
        <f t="shared" si="30"/>
        <v>0</v>
      </c>
      <c r="AD167" s="379">
        <f t="shared" si="31"/>
        <v>0</v>
      </c>
      <c r="AE167" s="379">
        <f t="shared" si="32"/>
        <v>0</v>
      </c>
      <c r="AF167" s="379">
        <f t="shared" si="33"/>
        <v>0</v>
      </c>
      <c r="AG167" s="379">
        <f t="shared" si="34"/>
        <v>0</v>
      </c>
      <c r="AH167" s="379">
        <f t="shared" si="35"/>
        <v>0</v>
      </c>
      <c r="AI167" s="379">
        <f t="shared" si="36"/>
        <v>0</v>
      </c>
      <c r="AJ167" s="379">
        <f t="shared" si="37"/>
        <v>0</v>
      </c>
      <c r="AK167" s="379">
        <f t="shared" si="38"/>
        <v>0</v>
      </c>
      <c r="AL167" s="379">
        <f t="shared" si="39"/>
        <v>0</v>
      </c>
      <c r="AM167" s="379">
        <f t="shared" si="40"/>
        <v>0</v>
      </c>
      <c r="AN167" s="490">
        <f t="shared" si="41"/>
        <v>0</v>
      </c>
      <c r="AO167" s="379">
        <f t="shared" si="42"/>
        <v>0</v>
      </c>
      <c r="AP167" s="379">
        <f t="shared" si="43"/>
        <v>0</v>
      </c>
      <c r="AQ167" s="379">
        <f t="shared" si="44"/>
        <v>0</v>
      </c>
      <c r="AR167" s="379">
        <f t="shared" si="45"/>
        <v>0</v>
      </c>
      <c r="AS167" s="379">
        <f t="shared" si="46"/>
        <v>0</v>
      </c>
      <c r="AT167" s="379">
        <f t="shared" si="47"/>
        <v>0</v>
      </c>
      <c r="AU167" s="379">
        <f t="shared" si="48"/>
        <v>0</v>
      </c>
      <c r="AV167" s="379">
        <f t="shared" si="49"/>
        <v>0</v>
      </c>
      <c r="AW167" s="379">
        <f t="shared" si="50"/>
        <v>0</v>
      </c>
      <c r="AX167" s="379">
        <f t="shared" si="51"/>
        <v>0</v>
      </c>
      <c r="AY167" s="379">
        <f t="shared" si="52"/>
        <v>0</v>
      </c>
    </row>
    <row r="168" spans="1:51" x14ac:dyDescent="0.2">
      <c r="A168" s="376">
        <v>17150</v>
      </c>
      <c r="B168" s="378" t="str">
        <f t="shared" si="53"/>
        <v>Sutherland Shire (A)</v>
      </c>
      <c r="C168" s="377" t="str">
        <f t="shared" si="6"/>
        <v>SSROC</v>
      </c>
      <c r="D168" s="503" t="str">
        <f t="shared" si="7"/>
        <v>S</v>
      </c>
      <c r="E168" s="503"/>
      <c r="F168"/>
      <c r="G168" s="379">
        <f t="shared" si="8"/>
        <v>227312</v>
      </c>
      <c r="H168" s="379">
        <f t="shared" si="9"/>
        <v>94814</v>
      </c>
      <c r="I168" s="379">
        <f t="shared" si="10"/>
        <v>456.3</v>
      </c>
      <c r="J168" s="379" t="str">
        <f t="shared" si="11"/>
        <v>Y</v>
      </c>
      <c r="K168" s="379">
        <f t="shared" si="12"/>
        <v>83738</v>
      </c>
      <c r="L168" s="379">
        <f t="shared" si="13"/>
        <v>0</v>
      </c>
      <c r="M168" s="379">
        <f t="shared" si="14"/>
        <v>83738</v>
      </c>
      <c r="N168" s="379">
        <f t="shared" si="15"/>
        <v>83738</v>
      </c>
      <c r="O168" s="379">
        <f t="shared" si="16"/>
        <v>0</v>
      </c>
      <c r="P168" s="379" t="str">
        <f t="shared" si="17"/>
        <v>Y</v>
      </c>
      <c r="Q168" s="379">
        <f t="shared" si="18"/>
        <v>0</v>
      </c>
      <c r="R168" s="379">
        <f t="shared" si="19"/>
        <v>0</v>
      </c>
      <c r="S168" s="379">
        <f t="shared" si="20"/>
        <v>0</v>
      </c>
      <c r="T168" s="379">
        <f t="shared" si="21"/>
        <v>0</v>
      </c>
      <c r="U168" s="379">
        <f t="shared" si="22"/>
        <v>0</v>
      </c>
      <c r="V168" s="379">
        <f t="shared" si="23"/>
        <v>0</v>
      </c>
      <c r="W168" s="379">
        <f t="shared" si="24"/>
        <v>0</v>
      </c>
      <c r="X168" s="379">
        <f t="shared" si="25"/>
        <v>0</v>
      </c>
      <c r="Y168" s="379">
        <f t="shared" si="26"/>
        <v>0</v>
      </c>
      <c r="Z168" s="379">
        <f t="shared" si="27"/>
        <v>0</v>
      </c>
      <c r="AA168" s="379">
        <f t="shared" si="28"/>
        <v>0</v>
      </c>
      <c r="AB168" s="379">
        <f t="shared" si="29"/>
        <v>0</v>
      </c>
      <c r="AC168" s="379">
        <f t="shared" si="30"/>
        <v>0</v>
      </c>
      <c r="AD168" s="379">
        <f t="shared" si="31"/>
        <v>0</v>
      </c>
      <c r="AE168" s="379">
        <f t="shared" si="32"/>
        <v>0</v>
      </c>
      <c r="AF168" s="379">
        <f t="shared" si="33"/>
        <v>0</v>
      </c>
      <c r="AG168" s="379">
        <f t="shared" si="34"/>
        <v>0</v>
      </c>
      <c r="AH168" s="379">
        <f t="shared" si="35"/>
        <v>0</v>
      </c>
      <c r="AI168" s="379">
        <f t="shared" si="36"/>
        <v>0</v>
      </c>
      <c r="AJ168" s="379">
        <f t="shared" si="37"/>
        <v>0</v>
      </c>
      <c r="AK168" s="379">
        <f t="shared" si="38"/>
        <v>0</v>
      </c>
      <c r="AL168" s="379">
        <f t="shared" si="39"/>
        <v>0</v>
      </c>
      <c r="AM168" s="379">
        <f t="shared" si="40"/>
        <v>0</v>
      </c>
      <c r="AN168" s="490">
        <f t="shared" si="41"/>
        <v>0</v>
      </c>
      <c r="AO168" s="379">
        <f t="shared" si="42"/>
        <v>0</v>
      </c>
      <c r="AP168" s="379">
        <f t="shared" si="43"/>
        <v>0</v>
      </c>
      <c r="AQ168" s="379">
        <f t="shared" si="44"/>
        <v>0</v>
      </c>
      <c r="AR168" s="379">
        <f t="shared" si="45"/>
        <v>0</v>
      </c>
      <c r="AS168" s="379">
        <f t="shared" si="46"/>
        <v>0</v>
      </c>
      <c r="AT168" s="379">
        <f t="shared" si="47"/>
        <v>0</v>
      </c>
      <c r="AU168" s="379">
        <f t="shared" si="48"/>
        <v>0</v>
      </c>
      <c r="AV168" s="379">
        <f t="shared" si="49"/>
        <v>0</v>
      </c>
      <c r="AW168" s="379">
        <f t="shared" si="50"/>
        <v>0</v>
      </c>
      <c r="AX168" s="379">
        <f t="shared" si="51"/>
        <v>0</v>
      </c>
      <c r="AY168" s="379">
        <f t="shared" si="52"/>
        <v>0</v>
      </c>
    </row>
    <row r="169" spans="1:51" x14ac:dyDescent="0.2">
      <c r="A169" s="376">
        <v>17200</v>
      </c>
      <c r="B169" s="378" t="str">
        <f t="shared" si="53"/>
        <v>Sydney (C)</v>
      </c>
      <c r="C169" s="377" t="str">
        <f t="shared" si="6"/>
        <v>SSROC</v>
      </c>
      <c r="D169" s="503" t="str">
        <f t="shared" si="7"/>
        <v>S</v>
      </c>
      <c r="E169" s="503"/>
      <c r="F169"/>
      <c r="G169" s="379">
        <f t="shared" si="8"/>
        <v>210931</v>
      </c>
      <c r="H169" s="379">
        <f t="shared" si="9"/>
        <v>118454</v>
      </c>
      <c r="I169" s="379">
        <f t="shared" si="10"/>
        <v>411</v>
      </c>
      <c r="J169" s="379" t="str">
        <f t="shared" si="11"/>
        <v>Y</v>
      </c>
      <c r="K169" s="379">
        <f t="shared" si="12"/>
        <v>106471</v>
      </c>
      <c r="L169" s="379" t="str">
        <f t="shared" si="13"/>
        <v>Y</v>
      </c>
      <c r="M169" s="379">
        <f t="shared" si="14"/>
        <v>106471</v>
      </c>
      <c r="N169" s="379">
        <f t="shared" si="15"/>
        <v>9083</v>
      </c>
      <c r="O169" s="379">
        <f t="shared" si="16"/>
        <v>0</v>
      </c>
      <c r="P169" s="379" t="str">
        <f t="shared" si="17"/>
        <v>Y</v>
      </c>
      <c r="Q169" s="379">
        <f t="shared" si="18"/>
        <v>0</v>
      </c>
      <c r="R169" s="379">
        <f t="shared" si="19"/>
        <v>0</v>
      </c>
      <c r="S169" s="379">
        <f t="shared" si="20"/>
        <v>0</v>
      </c>
      <c r="T169" s="379">
        <f t="shared" si="21"/>
        <v>0</v>
      </c>
      <c r="U169" s="379">
        <f t="shared" si="22"/>
        <v>0</v>
      </c>
      <c r="V169" s="379">
        <f t="shared" si="23"/>
        <v>0</v>
      </c>
      <c r="W169" s="379">
        <f t="shared" si="24"/>
        <v>0</v>
      </c>
      <c r="X169" s="379">
        <f t="shared" si="25"/>
        <v>0</v>
      </c>
      <c r="Y169" s="379">
        <f t="shared" si="26"/>
        <v>0</v>
      </c>
      <c r="Z169" s="379">
        <f t="shared" si="27"/>
        <v>0</v>
      </c>
      <c r="AA169" s="379">
        <f t="shared" si="28"/>
        <v>0</v>
      </c>
      <c r="AB169" s="379">
        <f t="shared" si="29"/>
        <v>0</v>
      </c>
      <c r="AC169" s="379">
        <f t="shared" si="30"/>
        <v>0</v>
      </c>
      <c r="AD169" s="379">
        <f t="shared" si="31"/>
        <v>0</v>
      </c>
      <c r="AE169" s="379">
        <f t="shared" si="32"/>
        <v>0</v>
      </c>
      <c r="AF169" s="379">
        <f t="shared" si="33"/>
        <v>0</v>
      </c>
      <c r="AG169" s="379">
        <f t="shared" si="34"/>
        <v>0</v>
      </c>
      <c r="AH169" s="379">
        <f t="shared" si="35"/>
        <v>0</v>
      </c>
      <c r="AI169" s="379">
        <f t="shared" si="36"/>
        <v>0</v>
      </c>
      <c r="AJ169" s="379">
        <f t="shared" si="37"/>
        <v>0</v>
      </c>
      <c r="AK169" s="379">
        <f t="shared" si="38"/>
        <v>0</v>
      </c>
      <c r="AL169" s="379">
        <f t="shared" si="39"/>
        <v>0</v>
      </c>
      <c r="AM169" s="379">
        <f t="shared" si="40"/>
        <v>0</v>
      </c>
      <c r="AN169" s="490">
        <f t="shared" si="41"/>
        <v>0</v>
      </c>
      <c r="AO169" s="379">
        <f t="shared" si="42"/>
        <v>0</v>
      </c>
      <c r="AP169" s="379">
        <f t="shared" si="43"/>
        <v>0</v>
      </c>
      <c r="AQ169" s="379">
        <f t="shared" si="44"/>
        <v>0</v>
      </c>
      <c r="AR169" s="379">
        <f t="shared" si="45"/>
        <v>0</v>
      </c>
      <c r="AS169" s="379">
        <f t="shared" si="46"/>
        <v>0</v>
      </c>
      <c r="AT169" s="379">
        <f t="shared" si="47"/>
        <v>0</v>
      </c>
      <c r="AU169" s="379">
        <f t="shared" si="48"/>
        <v>0</v>
      </c>
      <c r="AV169" s="379">
        <f t="shared" si="49"/>
        <v>0</v>
      </c>
      <c r="AW169" s="379">
        <f t="shared" si="50"/>
        <v>0</v>
      </c>
      <c r="AX169" s="379">
        <f t="shared" si="51"/>
        <v>0</v>
      </c>
      <c r="AY169" s="379">
        <f t="shared" si="52"/>
        <v>0</v>
      </c>
    </row>
    <row r="170" spans="1:51" x14ac:dyDescent="0.2">
      <c r="A170" s="376">
        <v>17420</v>
      </c>
      <c r="B170" s="378" t="str">
        <f t="shared" si="53"/>
        <v>The Hills Shire (A)</v>
      </c>
      <c r="C170" s="377" t="str">
        <f t="shared" si="6"/>
        <v>WSROC</v>
      </c>
      <c r="D170" s="503" t="str">
        <f t="shared" si="7"/>
        <v>S</v>
      </c>
      <c r="E170" s="503"/>
      <c r="F170"/>
      <c r="G170" s="379">
        <f t="shared" si="8"/>
        <v>164802</v>
      </c>
      <c r="H170" s="379">
        <f t="shared" si="9"/>
        <v>52761</v>
      </c>
      <c r="I170" s="379">
        <f t="shared" si="10"/>
        <v>405</v>
      </c>
      <c r="J170" s="379" t="str">
        <f t="shared" si="11"/>
        <v>Y</v>
      </c>
      <c r="K170" s="379">
        <f t="shared" si="12"/>
        <v>48233</v>
      </c>
      <c r="L170" s="379">
        <f t="shared" si="13"/>
        <v>0</v>
      </c>
      <c r="M170" s="379">
        <f t="shared" si="14"/>
        <v>53378</v>
      </c>
      <c r="N170" s="379">
        <f t="shared" si="15"/>
        <v>42526</v>
      </c>
      <c r="O170" s="379">
        <f t="shared" si="16"/>
        <v>0</v>
      </c>
      <c r="P170" s="379" t="str">
        <f t="shared" si="17"/>
        <v>Y</v>
      </c>
      <c r="Q170" s="379" t="str">
        <f t="shared" si="18"/>
        <v>Y</v>
      </c>
      <c r="R170" s="379" t="str">
        <f t="shared" si="19"/>
        <v>SUEZ Seven Hills</v>
      </c>
      <c r="S170" s="379">
        <f t="shared" si="20"/>
        <v>0</v>
      </c>
      <c r="T170" s="379">
        <f t="shared" si="21"/>
        <v>0</v>
      </c>
      <c r="U170" s="379">
        <f t="shared" si="22"/>
        <v>0</v>
      </c>
      <c r="V170" s="379">
        <f t="shared" si="23"/>
        <v>0</v>
      </c>
      <c r="W170" s="379">
        <f t="shared" si="24"/>
        <v>0</v>
      </c>
      <c r="X170" s="379">
        <f t="shared" si="25"/>
        <v>0</v>
      </c>
      <c r="Y170" s="379">
        <f t="shared" si="26"/>
        <v>0</v>
      </c>
      <c r="Z170" s="379">
        <f t="shared" si="27"/>
        <v>0</v>
      </c>
      <c r="AA170" s="379">
        <f t="shared" si="28"/>
        <v>0</v>
      </c>
      <c r="AB170" s="379">
        <f t="shared" si="29"/>
        <v>0</v>
      </c>
      <c r="AC170" s="379">
        <f t="shared" si="30"/>
        <v>0</v>
      </c>
      <c r="AD170" s="379">
        <f t="shared" si="31"/>
        <v>0</v>
      </c>
      <c r="AE170" s="379">
        <f t="shared" si="32"/>
        <v>0</v>
      </c>
      <c r="AF170" s="379">
        <f t="shared" si="33"/>
        <v>0</v>
      </c>
      <c r="AG170" s="379">
        <f t="shared" si="34"/>
        <v>0</v>
      </c>
      <c r="AH170" s="379">
        <f t="shared" si="35"/>
        <v>0</v>
      </c>
      <c r="AI170" s="379">
        <f t="shared" si="36"/>
        <v>0</v>
      </c>
      <c r="AJ170" s="379">
        <f t="shared" si="37"/>
        <v>0</v>
      </c>
      <c r="AK170" s="379">
        <f t="shared" si="38"/>
        <v>0</v>
      </c>
      <c r="AL170" s="379">
        <f t="shared" si="39"/>
        <v>0</v>
      </c>
      <c r="AM170" s="379">
        <f t="shared" si="40"/>
        <v>0</v>
      </c>
      <c r="AN170" s="490">
        <f t="shared" si="41"/>
        <v>0</v>
      </c>
      <c r="AO170" s="379">
        <f t="shared" si="42"/>
        <v>0</v>
      </c>
      <c r="AP170" s="379">
        <f t="shared" si="43"/>
        <v>0</v>
      </c>
      <c r="AQ170" s="379">
        <f t="shared" si="44"/>
        <v>0</v>
      </c>
      <c r="AR170" s="379">
        <f t="shared" si="45"/>
        <v>0</v>
      </c>
      <c r="AS170" s="379">
        <f t="shared" si="46"/>
        <v>0</v>
      </c>
      <c r="AT170" s="379">
        <f t="shared" si="47"/>
        <v>0</v>
      </c>
      <c r="AU170" s="379">
        <f t="shared" si="48"/>
        <v>0</v>
      </c>
      <c r="AV170" s="379">
        <f t="shared" si="49"/>
        <v>0</v>
      </c>
      <c r="AW170" s="379">
        <f t="shared" si="50"/>
        <v>0</v>
      </c>
      <c r="AX170" s="379">
        <f t="shared" si="51"/>
        <v>0</v>
      </c>
      <c r="AY170" s="379">
        <f t="shared" si="52"/>
        <v>0</v>
      </c>
    </row>
    <row r="171" spans="1:51" x14ac:dyDescent="0.2">
      <c r="A171" s="376">
        <v>18050</v>
      </c>
      <c r="B171" s="378" t="str">
        <f t="shared" si="53"/>
        <v>Waverley (A)</v>
      </c>
      <c r="C171" s="377" t="str">
        <f t="shared" si="6"/>
        <v>SSROC</v>
      </c>
      <c r="D171" s="503" t="str">
        <f t="shared" si="7"/>
        <v>S</v>
      </c>
      <c r="E171" s="503"/>
      <c r="F171"/>
      <c r="G171" s="379">
        <f t="shared" si="8"/>
        <v>73366</v>
      </c>
      <c r="H171" s="379">
        <f t="shared" si="9"/>
        <v>29155</v>
      </c>
      <c r="I171" s="379">
        <f t="shared" si="10"/>
        <v>500</v>
      </c>
      <c r="J171" s="379" t="str">
        <f t="shared" si="11"/>
        <v>Y</v>
      </c>
      <c r="K171" s="379">
        <f t="shared" si="12"/>
        <v>29155</v>
      </c>
      <c r="L171" s="379">
        <f t="shared" si="13"/>
        <v>0</v>
      </c>
      <c r="M171" s="379">
        <f t="shared" si="14"/>
        <v>29155</v>
      </c>
      <c r="N171" s="379">
        <f t="shared" si="15"/>
        <v>12220</v>
      </c>
      <c r="O171" s="379">
        <f t="shared" si="16"/>
        <v>0</v>
      </c>
      <c r="P171" s="379" t="str">
        <f t="shared" si="17"/>
        <v>Y</v>
      </c>
      <c r="Q171" s="379">
        <f t="shared" si="18"/>
        <v>0</v>
      </c>
      <c r="R171" s="379">
        <f t="shared" si="19"/>
        <v>0</v>
      </c>
      <c r="S171" s="379">
        <f t="shared" si="20"/>
        <v>0</v>
      </c>
      <c r="T171" s="379">
        <f t="shared" si="21"/>
        <v>0</v>
      </c>
      <c r="U171" s="379">
        <f t="shared" si="22"/>
        <v>0</v>
      </c>
      <c r="V171" s="379">
        <f t="shared" si="23"/>
        <v>0</v>
      </c>
      <c r="W171" s="379">
        <f t="shared" si="24"/>
        <v>0</v>
      </c>
      <c r="X171" s="379">
        <f t="shared" si="25"/>
        <v>0</v>
      </c>
      <c r="Y171" s="379">
        <f t="shared" si="26"/>
        <v>0</v>
      </c>
      <c r="Z171" s="379">
        <f t="shared" si="27"/>
        <v>0</v>
      </c>
      <c r="AA171" s="379">
        <f t="shared" si="28"/>
        <v>0</v>
      </c>
      <c r="AB171" s="379">
        <f t="shared" si="29"/>
        <v>0</v>
      </c>
      <c r="AC171" s="379">
        <f t="shared" si="30"/>
        <v>0</v>
      </c>
      <c r="AD171" s="379">
        <f t="shared" si="31"/>
        <v>0</v>
      </c>
      <c r="AE171" s="379">
        <f t="shared" si="32"/>
        <v>0</v>
      </c>
      <c r="AF171" s="379">
        <f t="shared" si="33"/>
        <v>0</v>
      </c>
      <c r="AG171" s="379">
        <f t="shared" si="34"/>
        <v>0</v>
      </c>
      <c r="AH171" s="379">
        <f t="shared" si="35"/>
        <v>0</v>
      </c>
      <c r="AI171" s="379">
        <f t="shared" si="36"/>
        <v>0</v>
      </c>
      <c r="AJ171" s="379">
        <f t="shared" si="37"/>
        <v>0</v>
      </c>
      <c r="AK171" s="379">
        <f t="shared" si="38"/>
        <v>0</v>
      </c>
      <c r="AL171" s="379">
        <f t="shared" si="39"/>
        <v>0</v>
      </c>
      <c r="AM171" s="379">
        <f t="shared" si="40"/>
        <v>0</v>
      </c>
      <c r="AN171" s="490">
        <f t="shared" si="41"/>
        <v>0</v>
      </c>
      <c r="AO171" s="379">
        <f t="shared" si="42"/>
        <v>0</v>
      </c>
      <c r="AP171" s="379">
        <f t="shared" si="43"/>
        <v>0</v>
      </c>
      <c r="AQ171" s="379">
        <f t="shared" si="44"/>
        <v>0</v>
      </c>
      <c r="AR171" s="379">
        <f t="shared" si="45"/>
        <v>0</v>
      </c>
      <c r="AS171" s="379">
        <f t="shared" si="46"/>
        <v>0</v>
      </c>
      <c r="AT171" s="379">
        <f t="shared" si="47"/>
        <v>0</v>
      </c>
      <c r="AU171" s="379">
        <f t="shared" si="48"/>
        <v>0</v>
      </c>
      <c r="AV171" s="379">
        <f t="shared" si="49"/>
        <v>0</v>
      </c>
      <c r="AW171" s="379">
        <f t="shared" si="50"/>
        <v>0</v>
      </c>
      <c r="AX171" s="379">
        <f t="shared" si="51"/>
        <v>0</v>
      </c>
      <c r="AY171" s="379">
        <f t="shared" si="52"/>
        <v>0</v>
      </c>
    </row>
    <row r="172" spans="1:51" x14ac:dyDescent="0.2">
      <c r="A172" s="376">
        <v>18250</v>
      </c>
      <c r="B172" s="378" t="str">
        <f t="shared" si="53"/>
        <v>Willoughby (C)</v>
      </c>
      <c r="C172" s="377" t="str">
        <f t="shared" si="6"/>
        <v>NSROC</v>
      </c>
      <c r="D172" s="503" t="str">
        <f t="shared" si="7"/>
        <v>S</v>
      </c>
      <c r="E172" s="503"/>
      <c r="F172"/>
      <c r="G172" s="379">
        <f t="shared" si="8"/>
        <v>77833</v>
      </c>
      <c r="H172" s="379">
        <f t="shared" si="9"/>
        <v>28654</v>
      </c>
      <c r="I172" s="379">
        <f t="shared" si="10"/>
        <v>515</v>
      </c>
      <c r="J172" s="379" t="str">
        <f t="shared" si="11"/>
        <v>Y</v>
      </c>
      <c r="K172" s="379">
        <f t="shared" si="12"/>
        <v>32346</v>
      </c>
      <c r="L172" s="379">
        <f t="shared" si="13"/>
        <v>0</v>
      </c>
      <c r="M172" s="379">
        <f t="shared" si="14"/>
        <v>29845</v>
      </c>
      <c r="N172" s="379">
        <f t="shared" si="15"/>
        <v>16171</v>
      </c>
      <c r="O172" s="379">
        <f t="shared" si="16"/>
        <v>0</v>
      </c>
      <c r="P172" s="379" t="str">
        <f t="shared" si="17"/>
        <v>Y</v>
      </c>
      <c r="Q172" s="379">
        <f t="shared" si="18"/>
        <v>0</v>
      </c>
      <c r="R172" s="379">
        <f t="shared" si="19"/>
        <v>0</v>
      </c>
      <c r="S172" s="379">
        <f t="shared" si="20"/>
        <v>0</v>
      </c>
      <c r="T172" s="379">
        <f t="shared" si="21"/>
        <v>0</v>
      </c>
      <c r="U172" s="379">
        <f t="shared" si="22"/>
        <v>0</v>
      </c>
      <c r="V172" s="379">
        <f t="shared" si="23"/>
        <v>0</v>
      </c>
      <c r="W172" s="379">
        <f t="shared" si="24"/>
        <v>0</v>
      </c>
      <c r="X172" s="379">
        <f t="shared" si="25"/>
        <v>0</v>
      </c>
      <c r="Y172" s="379">
        <f t="shared" si="26"/>
        <v>0</v>
      </c>
      <c r="Z172" s="379">
        <f t="shared" si="27"/>
        <v>0</v>
      </c>
      <c r="AA172" s="379">
        <f t="shared" si="28"/>
        <v>0</v>
      </c>
      <c r="AB172" s="379">
        <f t="shared" si="29"/>
        <v>0</v>
      </c>
      <c r="AC172" s="379">
        <f t="shared" si="30"/>
        <v>0</v>
      </c>
      <c r="AD172" s="379">
        <f t="shared" si="31"/>
        <v>0</v>
      </c>
      <c r="AE172" s="379">
        <f t="shared" si="32"/>
        <v>0</v>
      </c>
      <c r="AF172" s="379">
        <f t="shared" si="33"/>
        <v>0</v>
      </c>
      <c r="AG172" s="379">
        <f t="shared" si="34"/>
        <v>0</v>
      </c>
      <c r="AH172" s="379">
        <f t="shared" si="35"/>
        <v>0</v>
      </c>
      <c r="AI172" s="379">
        <f t="shared" si="36"/>
        <v>0</v>
      </c>
      <c r="AJ172" s="379">
        <f t="shared" si="37"/>
        <v>0</v>
      </c>
      <c r="AK172" s="379">
        <f t="shared" si="38"/>
        <v>0</v>
      </c>
      <c r="AL172" s="379">
        <f t="shared" si="39"/>
        <v>0</v>
      </c>
      <c r="AM172" s="379">
        <f t="shared" si="40"/>
        <v>0</v>
      </c>
      <c r="AN172" s="490">
        <f t="shared" si="41"/>
        <v>0</v>
      </c>
      <c r="AO172" s="379">
        <f t="shared" si="42"/>
        <v>0</v>
      </c>
      <c r="AP172" s="379">
        <f t="shared" si="43"/>
        <v>0</v>
      </c>
      <c r="AQ172" s="379">
        <f t="shared" si="44"/>
        <v>0</v>
      </c>
      <c r="AR172" s="379">
        <f t="shared" si="45"/>
        <v>0</v>
      </c>
      <c r="AS172" s="379">
        <f t="shared" si="46"/>
        <v>0</v>
      </c>
      <c r="AT172" s="379">
        <f t="shared" si="47"/>
        <v>0</v>
      </c>
      <c r="AU172" s="379">
        <f t="shared" si="48"/>
        <v>0</v>
      </c>
      <c r="AV172" s="379">
        <f t="shared" si="49"/>
        <v>0</v>
      </c>
      <c r="AW172" s="379">
        <f t="shared" si="50"/>
        <v>0</v>
      </c>
      <c r="AX172" s="379">
        <f t="shared" si="51"/>
        <v>0</v>
      </c>
      <c r="AY172" s="379">
        <f t="shared" si="52"/>
        <v>0</v>
      </c>
    </row>
    <row r="173" spans="1:51" ht="13.5" thickBot="1" x14ac:dyDescent="0.25">
      <c r="A173" s="376">
        <v>18500</v>
      </c>
      <c r="B173" s="378" t="str">
        <f t="shared" si="53"/>
        <v>Woollahra (A)</v>
      </c>
      <c r="C173" s="377" t="str">
        <f t="shared" si="6"/>
        <v>SSROC</v>
      </c>
      <c r="D173" s="503" t="str">
        <f t="shared" si="7"/>
        <v>S</v>
      </c>
      <c r="E173" s="503"/>
      <c r="F173"/>
      <c r="G173" s="379">
        <f t="shared" si="8"/>
        <v>59860</v>
      </c>
      <c r="H173" s="379">
        <f t="shared" si="9"/>
        <v>24755</v>
      </c>
      <c r="I173" s="379">
        <f t="shared" si="10"/>
        <v>508.5</v>
      </c>
      <c r="J173" s="379" t="str">
        <f t="shared" si="11"/>
        <v>Y</v>
      </c>
      <c r="K173" s="379">
        <f t="shared" si="12"/>
        <v>24755</v>
      </c>
      <c r="L173" s="379">
        <f t="shared" si="13"/>
        <v>0</v>
      </c>
      <c r="M173" s="379">
        <f t="shared" si="14"/>
        <v>24755</v>
      </c>
      <c r="N173" s="379">
        <f t="shared" si="15"/>
        <v>0</v>
      </c>
      <c r="O173" s="379">
        <f t="shared" si="16"/>
        <v>24755</v>
      </c>
      <c r="P173" s="379" t="str">
        <f t="shared" si="17"/>
        <v>Y</v>
      </c>
      <c r="Q173" s="379">
        <f t="shared" si="18"/>
        <v>0</v>
      </c>
      <c r="R173" s="379">
        <f t="shared" si="19"/>
        <v>0</v>
      </c>
      <c r="S173" s="379">
        <f t="shared" si="20"/>
        <v>0</v>
      </c>
      <c r="T173" s="379">
        <f t="shared" si="21"/>
        <v>0</v>
      </c>
      <c r="U173" s="379">
        <f t="shared" si="22"/>
        <v>0</v>
      </c>
      <c r="V173" s="379">
        <f t="shared" si="23"/>
        <v>0</v>
      </c>
      <c r="W173" s="379">
        <f t="shared" si="24"/>
        <v>0</v>
      </c>
      <c r="X173" s="379">
        <f t="shared" si="25"/>
        <v>0</v>
      </c>
      <c r="Y173" s="379">
        <f t="shared" si="26"/>
        <v>0</v>
      </c>
      <c r="Z173" s="379">
        <f t="shared" si="27"/>
        <v>0</v>
      </c>
      <c r="AA173" s="379">
        <f t="shared" si="28"/>
        <v>0</v>
      </c>
      <c r="AB173" s="379">
        <f t="shared" si="29"/>
        <v>0</v>
      </c>
      <c r="AC173" s="379">
        <f t="shared" si="30"/>
        <v>0</v>
      </c>
      <c r="AD173" s="379">
        <f t="shared" si="31"/>
        <v>0</v>
      </c>
      <c r="AE173" s="379">
        <f t="shared" si="32"/>
        <v>0</v>
      </c>
      <c r="AF173" s="379">
        <f t="shared" si="33"/>
        <v>0</v>
      </c>
      <c r="AG173" s="379">
        <f t="shared" si="34"/>
        <v>0</v>
      </c>
      <c r="AH173" s="379">
        <f t="shared" si="35"/>
        <v>0</v>
      </c>
      <c r="AI173" s="379">
        <f t="shared" si="36"/>
        <v>0</v>
      </c>
      <c r="AJ173" s="379">
        <f t="shared" si="37"/>
        <v>0</v>
      </c>
      <c r="AK173" s="379">
        <f t="shared" si="38"/>
        <v>0</v>
      </c>
      <c r="AL173" s="379">
        <f t="shared" si="39"/>
        <v>0</v>
      </c>
      <c r="AM173" s="379">
        <f t="shared" si="40"/>
        <v>0</v>
      </c>
      <c r="AN173" s="490">
        <f t="shared" si="41"/>
        <v>0</v>
      </c>
      <c r="AO173" s="379">
        <f t="shared" si="42"/>
        <v>0</v>
      </c>
      <c r="AP173" s="379">
        <f t="shared" si="43"/>
        <v>0</v>
      </c>
      <c r="AQ173" s="379">
        <f t="shared" si="44"/>
        <v>0</v>
      </c>
      <c r="AR173" s="379">
        <f t="shared" si="45"/>
        <v>0</v>
      </c>
      <c r="AS173" s="379">
        <f t="shared" si="46"/>
        <v>0</v>
      </c>
      <c r="AT173" s="379">
        <f t="shared" si="47"/>
        <v>0</v>
      </c>
      <c r="AU173" s="379">
        <f t="shared" si="48"/>
        <v>0</v>
      </c>
      <c r="AV173" s="379">
        <f t="shared" si="49"/>
        <v>0</v>
      </c>
      <c r="AW173" s="379">
        <f t="shared" si="50"/>
        <v>0</v>
      </c>
      <c r="AX173" s="379">
        <f t="shared" si="51"/>
        <v>0</v>
      </c>
      <c r="AY173" s="379">
        <f t="shared" si="52"/>
        <v>0</v>
      </c>
    </row>
    <row r="174" spans="1:51" ht="13.5" thickTop="1" x14ac:dyDescent="0.2">
      <c r="A174" s="380"/>
      <c r="B174" s="380"/>
      <c r="C174" s="380" t="s">
        <v>264</v>
      </c>
      <c r="D174" s="380"/>
      <c r="E174" s="484"/>
      <c r="F174" s="381"/>
      <c r="G174" s="382">
        <f t="shared" ref="G174:AY174" si="54">COUNTIF(G144:G173,"&gt;0")</f>
        <v>30</v>
      </c>
      <c r="H174" s="382">
        <f t="shared" si="54"/>
        <v>30</v>
      </c>
      <c r="I174" s="382">
        <f t="shared" si="54"/>
        <v>30</v>
      </c>
      <c r="J174" s="382">
        <f t="shared" si="54"/>
        <v>0</v>
      </c>
      <c r="K174" s="382">
        <f t="shared" si="54"/>
        <v>30</v>
      </c>
      <c r="L174" s="382">
        <f t="shared" si="54"/>
        <v>0</v>
      </c>
      <c r="M174" s="382">
        <f t="shared" si="54"/>
        <v>30</v>
      </c>
      <c r="N174" s="382">
        <f t="shared" si="54"/>
        <v>25</v>
      </c>
      <c r="O174" s="382">
        <f t="shared" si="54"/>
        <v>3</v>
      </c>
      <c r="P174" s="382">
        <f t="shared" si="54"/>
        <v>0</v>
      </c>
      <c r="Q174" s="382">
        <f t="shared" si="54"/>
        <v>0</v>
      </c>
      <c r="R174" s="382">
        <f t="shared" si="54"/>
        <v>0</v>
      </c>
      <c r="S174" s="382">
        <f t="shared" si="54"/>
        <v>0</v>
      </c>
      <c r="T174" s="382">
        <f t="shared" si="54"/>
        <v>0</v>
      </c>
      <c r="U174" s="382">
        <f t="shared" si="54"/>
        <v>0</v>
      </c>
      <c r="V174" s="382">
        <f t="shared" si="54"/>
        <v>0</v>
      </c>
      <c r="W174" s="382">
        <f t="shared" si="54"/>
        <v>0</v>
      </c>
      <c r="X174" s="382">
        <f t="shared" si="54"/>
        <v>0</v>
      </c>
      <c r="Y174" s="382">
        <f t="shared" si="54"/>
        <v>0</v>
      </c>
      <c r="Z174" s="382">
        <f t="shared" si="54"/>
        <v>0</v>
      </c>
      <c r="AA174" s="382">
        <f t="shared" si="54"/>
        <v>0</v>
      </c>
      <c r="AB174" s="382">
        <f t="shared" si="54"/>
        <v>0</v>
      </c>
      <c r="AC174" s="382">
        <f t="shared" si="54"/>
        <v>0</v>
      </c>
      <c r="AD174" s="382">
        <f t="shared" si="54"/>
        <v>0</v>
      </c>
      <c r="AE174" s="382">
        <f t="shared" si="54"/>
        <v>0</v>
      </c>
      <c r="AF174" s="382">
        <f t="shared" si="54"/>
        <v>0</v>
      </c>
      <c r="AG174" s="382">
        <f t="shared" si="54"/>
        <v>0</v>
      </c>
      <c r="AH174" s="382">
        <f t="shared" si="54"/>
        <v>0</v>
      </c>
      <c r="AI174" s="382">
        <f t="shared" si="54"/>
        <v>0</v>
      </c>
      <c r="AJ174" s="382">
        <f t="shared" si="54"/>
        <v>0</v>
      </c>
      <c r="AK174" s="382">
        <f t="shared" si="54"/>
        <v>0</v>
      </c>
      <c r="AL174" s="382">
        <f t="shared" si="54"/>
        <v>0</v>
      </c>
      <c r="AM174" s="382">
        <f t="shared" si="54"/>
        <v>0</v>
      </c>
      <c r="AN174" s="485">
        <f t="shared" si="54"/>
        <v>0</v>
      </c>
      <c r="AO174" s="382">
        <f t="shared" si="54"/>
        <v>0</v>
      </c>
      <c r="AP174" s="382">
        <f t="shared" si="54"/>
        <v>0</v>
      </c>
      <c r="AQ174" s="382">
        <f t="shared" si="54"/>
        <v>0</v>
      </c>
      <c r="AR174" s="382">
        <f t="shared" si="54"/>
        <v>0</v>
      </c>
      <c r="AS174" s="382">
        <f t="shared" si="54"/>
        <v>0</v>
      </c>
      <c r="AT174" s="382">
        <f t="shared" si="54"/>
        <v>0</v>
      </c>
      <c r="AU174" s="382">
        <f t="shared" si="54"/>
        <v>0</v>
      </c>
      <c r="AV174" s="382">
        <f t="shared" si="54"/>
        <v>0</v>
      </c>
      <c r="AW174" s="382">
        <f t="shared" si="54"/>
        <v>0</v>
      </c>
      <c r="AX174" s="382">
        <f t="shared" si="54"/>
        <v>0</v>
      </c>
      <c r="AY174" s="382">
        <f t="shared" si="54"/>
        <v>0</v>
      </c>
    </row>
    <row r="175" spans="1:51" x14ac:dyDescent="0.2">
      <c r="A175" s="376"/>
      <c r="B175" s="383" t="s">
        <v>18</v>
      </c>
      <c r="C175" s="376" t="s">
        <v>265</v>
      </c>
      <c r="D175" s="376"/>
      <c r="E175" s="488"/>
      <c r="F175" s="384"/>
      <c r="G175" s="385">
        <f t="shared" ref="G175:AY175" si="55">SUM(G144:G173)</f>
        <v>4474485</v>
      </c>
      <c r="H175" s="385">
        <f t="shared" si="55"/>
        <v>1611156</v>
      </c>
      <c r="I175" s="385">
        <f t="shared" si="55"/>
        <v>13507.439999999999</v>
      </c>
      <c r="J175" s="385">
        <f t="shared" si="55"/>
        <v>0</v>
      </c>
      <c r="K175" s="385">
        <f t="shared" si="55"/>
        <v>1468062</v>
      </c>
      <c r="L175" s="385">
        <f t="shared" si="55"/>
        <v>0</v>
      </c>
      <c r="M175" s="385">
        <f t="shared" si="55"/>
        <v>1446961</v>
      </c>
      <c r="N175" s="385">
        <f t="shared" si="55"/>
        <v>787507</v>
      </c>
      <c r="O175" s="385">
        <f t="shared" si="55"/>
        <v>81513</v>
      </c>
      <c r="P175" s="385">
        <f t="shared" si="55"/>
        <v>0</v>
      </c>
      <c r="Q175" s="385">
        <f t="shared" si="55"/>
        <v>0</v>
      </c>
      <c r="R175" s="385">
        <f t="shared" si="55"/>
        <v>0</v>
      </c>
      <c r="S175" s="385">
        <f t="shared" si="55"/>
        <v>0</v>
      </c>
      <c r="T175" s="385">
        <f t="shared" si="55"/>
        <v>0</v>
      </c>
      <c r="U175" s="385">
        <f t="shared" si="55"/>
        <v>0</v>
      </c>
      <c r="V175" s="385">
        <f t="shared" si="55"/>
        <v>0</v>
      </c>
      <c r="W175" s="385">
        <f t="shared" si="55"/>
        <v>0</v>
      </c>
      <c r="X175" s="385">
        <f t="shared" si="55"/>
        <v>0</v>
      </c>
      <c r="Y175" s="385">
        <f t="shared" si="55"/>
        <v>0</v>
      </c>
      <c r="Z175" s="385">
        <f t="shared" si="55"/>
        <v>0</v>
      </c>
      <c r="AA175" s="385">
        <f t="shared" si="55"/>
        <v>0</v>
      </c>
      <c r="AB175" s="385">
        <f t="shared" si="55"/>
        <v>0</v>
      </c>
      <c r="AC175" s="385">
        <f t="shared" si="55"/>
        <v>0</v>
      </c>
      <c r="AD175" s="385">
        <f t="shared" si="55"/>
        <v>0</v>
      </c>
      <c r="AE175" s="385">
        <f t="shared" si="55"/>
        <v>0</v>
      </c>
      <c r="AF175" s="385">
        <f t="shared" si="55"/>
        <v>0</v>
      </c>
      <c r="AG175" s="385">
        <f t="shared" si="55"/>
        <v>0</v>
      </c>
      <c r="AH175" s="385">
        <f t="shared" si="55"/>
        <v>0</v>
      </c>
      <c r="AI175" s="385">
        <f t="shared" si="55"/>
        <v>0</v>
      </c>
      <c r="AJ175" s="385">
        <f t="shared" si="55"/>
        <v>0</v>
      </c>
      <c r="AK175" s="385">
        <f t="shared" si="55"/>
        <v>0</v>
      </c>
      <c r="AL175" s="385">
        <f t="shared" si="55"/>
        <v>0</v>
      </c>
      <c r="AM175" s="385">
        <f t="shared" si="55"/>
        <v>0</v>
      </c>
      <c r="AN175" s="489">
        <f t="shared" si="55"/>
        <v>0</v>
      </c>
      <c r="AO175" s="385">
        <f t="shared" si="55"/>
        <v>0</v>
      </c>
      <c r="AP175" s="385">
        <f t="shared" si="55"/>
        <v>0</v>
      </c>
      <c r="AQ175" s="385">
        <f t="shared" si="55"/>
        <v>0</v>
      </c>
      <c r="AR175" s="385">
        <f t="shared" si="55"/>
        <v>0</v>
      </c>
      <c r="AS175" s="385">
        <f t="shared" si="55"/>
        <v>0</v>
      </c>
      <c r="AT175" s="385">
        <f t="shared" si="55"/>
        <v>0</v>
      </c>
      <c r="AU175" s="385">
        <f t="shared" si="55"/>
        <v>0</v>
      </c>
      <c r="AV175" s="385">
        <f t="shared" si="55"/>
        <v>0</v>
      </c>
      <c r="AW175" s="385">
        <f t="shared" si="55"/>
        <v>0</v>
      </c>
      <c r="AX175" s="385">
        <f t="shared" si="55"/>
        <v>0</v>
      </c>
      <c r="AY175" s="385">
        <f t="shared" si="55"/>
        <v>0</v>
      </c>
    </row>
    <row r="176" spans="1:51" x14ac:dyDescent="0.2">
      <c r="A176" s="376"/>
      <c r="B176" s="383"/>
      <c r="C176" s="376" t="s">
        <v>266</v>
      </c>
      <c r="D176" s="376"/>
      <c r="E176" s="488"/>
      <c r="F176" s="384"/>
      <c r="G176" s="379">
        <f t="shared" ref="G176:AY176" si="56">MIN(G144:G173)</f>
        <v>14843</v>
      </c>
      <c r="H176" s="379">
        <f t="shared" si="56"/>
        <v>4916</v>
      </c>
      <c r="I176" s="379">
        <f t="shared" si="56"/>
        <v>294</v>
      </c>
      <c r="J176" s="379">
        <f t="shared" si="56"/>
        <v>0</v>
      </c>
      <c r="K176" s="379">
        <f t="shared" si="56"/>
        <v>4402</v>
      </c>
      <c r="L176" s="379">
        <f t="shared" si="56"/>
        <v>0</v>
      </c>
      <c r="M176" s="379">
        <f t="shared" si="56"/>
        <v>4340</v>
      </c>
      <c r="N176" s="379">
        <f t="shared" si="56"/>
        <v>0</v>
      </c>
      <c r="O176" s="379">
        <f t="shared" si="56"/>
        <v>0</v>
      </c>
      <c r="P176" s="379">
        <f t="shared" si="56"/>
        <v>0</v>
      </c>
      <c r="Q176" s="379">
        <f t="shared" si="56"/>
        <v>0</v>
      </c>
      <c r="R176" s="379">
        <f t="shared" si="56"/>
        <v>0</v>
      </c>
      <c r="S176" s="379">
        <f t="shared" si="56"/>
        <v>0</v>
      </c>
      <c r="T176" s="379">
        <f t="shared" si="56"/>
        <v>0</v>
      </c>
      <c r="U176" s="379">
        <f t="shared" si="56"/>
        <v>0</v>
      </c>
      <c r="V176" s="379">
        <f t="shared" si="56"/>
        <v>0</v>
      </c>
      <c r="W176" s="379">
        <f t="shared" si="56"/>
        <v>0</v>
      </c>
      <c r="X176" s="379">
        <f t="shared" si="56"/>
        <v>0</v>
      </c>
      <c r="Y176" s="379">
        <f t="shared" si="56"/>
        <v>0</v>
      </c>
      <c r="Z176" s="379">
        <f t="shared" si="56"/>
        <v>0</v>
      </c>
      <c r="AA176" s="379">
        <f t="shared" si="56"/>
        <v>0</v>
      </c>
      <c r="AB176" s="379">
        <f t="shared" si="56"/>
        <v>0</v>
      </c>
      <c r="AC176" s="379">
        <f t="shared" si="56"/>
        <v>0</v>
      </c>
      <c r="AD176" s="379">
        <f t="shared" si="56"/>
        <v>0</v>
      </c>
      <c r="AE176" s="379">
        <f t="shared" si="56"/>
        <v>0</v>
      </c>
      <c r="AF176" s="379">
        <f t="shared" si="56"/>
        <v>0</v>
      </c>
      <c r="AG176" s="379">
        <f t="shared" si="56"/>
        <v>0</v>
      </c>
      <c r="AH176" s="379">
        <f t="shared" si="56"/>
        <v>0</v>
      </c>
      <c r="AI176" s="379">
        <f t="shared" si="56"/>
        <v>0</v>
      </c>
      <c r="AJ176" s="379">
        <f t="shared" si="56"/>
        <v>0</v>
      </c>
      <c r="AK176" s="379">
        <f t="shared" si="56"/>
        <v>0</v>
      </c>
      <c r="AL176" s="379">
        <f t="shared" si="56"/>
        <v>0</v>
      </c>
      <c r="AM176" s="379">
        <f t="shared" si="56"/>
        <v>0</v>
      </c>
      <c r="AN176" s="490">
        <f t="shared" si="56"/>
        <v>0</v>
      </c>
      <c r="AO176" s="379">
        <f t="shared" si="56"/>
        <v>0</v>
      </c>
      <c r="AP176" s="379">
        <f t="shared" si="56"/>
        <v>0</v>
      </c>
      <c r="AQ176" s="379">
        <f t="shared" si="56"/>
        <v>0</v>
      </c>
      <c r="AR176" s="379">
        <f t="shared" si="56"/>
        <v>0</v>
      </c>
      <c r="AS176" s="379">
        <f t="shared" si="56"/>
        <v>0</v>
      </c>
      <c r="AT176" s="379">
        <f t="shared" si="56"/>
        <v>0</v>
      </c>
      <c r="AU176" s="379">
        <f t="shared" si="56"/>
        <v>0</v>
      </c>
      <c r="AV176" s="379">
        <f t="shared" si="56"/>
        <v>0</v>
      </c>
      <c r="AW176" s="379">
        <f t="shared" si="56"/>
        <v>0</v>
      </c>
      <c r="AX176" s="379">
        <f t="shared" si="56"/>
        <v>0</v>
      </c>
      <c r="AY176" s="379">
        <f t="shared" si="56"/>
        <v>0</v>
      </c>
    </row>
    <row r="177" spans="1:51" x14ac:dyDescent="0.2">
      <c r="A177" s="376"/>
      <c r="B177" s="383"/>
      <c r="C177" s="376" t="s">
        <v>267</v>
      </c>
      <c r="D177" s="376"/>
      <c r="E177" s="488"/>
      <c r="F177" s="384"/>
      <c r="G177" s="379">
        <f t="shared" ref="G177:AY177" si="57">MAX(G144:G173)</f>
        <v>359671</v>
      </c>
      <c r="H177" s="379">
        <f t="shared" si="57"/>
        <v>122906</v>
      </c>
      <c r="I177" s="379">
        <f t="shared" si="57"/>
        <v>705</v>
      </c>
      <c r="J177" s="379">
        <f t="shared" si="57"/>
        <v>0</v>
      </c>
      <c r="K177" s="379">
        <f t="shared" si="57"/>
        <v>106471</v>
      </c>
      <c r="L177" s="379">
        <f t="shared" si="57"/>
        <v>0</v>
      </c>
      <c r="M177" s="379">
        <f t="shared" si="57"/>
        <v>106471</v>
      </c>
      <c r="N177" s="379">
        <f t="shared" si="57"/>
        <v>93303</v>
      </c>
      <c r="O177" s="379">
        <f t="shared" si="57"/>
        <v>56140</v>
      </c>
      <c r="P177" s="379">
        <f t="shared" si="57"/>
        <v>0</v>
      </c>
      <c r="Q177" s="379">
        <f t="shared" si="57"/>
        <v>0</v>
      </c>
      <c r="R177" s="379">
        <f t="shared" si="57"/>
        <v>0</v>
      </c>
      <c r="S177" s="379">
        <f t="shared" si="57"/>
        <v>0</v>
      </c>
      <c r="T177" s="379">
        <f t="shared" si="57"/>
        <v>0</v>
      </c>
      <c r="U177" s="379">
        <f t="shared" si="57"/>
        <v>0</v>
      </c>
      <c r="V177" s="379">
        <f t="shared" si="57"/>
        <v>0</v>
      </c>
      <c r="W177" s="379">
        <f t="shared" si="57"/>
        <v>0</v>
      </c>
      <c r="X177" s="379">
        <f t="shared" si="57"/>
        <v>0</v>
      </c>
      <c r="Y177" s="379">
        <f t="shared" si="57"/>
        <v>0</v>
      </c>
      <c r="Z177" s="379">
        <f t="shared" si="57"/>
        <v>0</v>
      </c>
      <c r="AA177" s="379">
        <f t="shared" si="57"/>
        <v>0</v>
      </c>
      <c r="AB177" s="379">
        <f t="shared" si="57"/>
        <v>0</v>
      </c>
      <c r="AC177" s="379">
        <f t="shared" si="57"/>
        <v>0</v>
      </c>
      <c r="AD177" s="379">
        <f t="shared" si="57"/>
        <v>0</v>
      </c>
      <c r="AE177" s="379">
        <f t="shared" si="57"/>
        <v>0</v>
      </c>
      <c r="AF177" s="379">
        <f t="shared" si="57"/>
        <v>0</v>
      </c>
      <c r="AG177" s="379">
        <f t="shared" si="57"/>
        <v>0</v>
      </c>
      <c r="AH177" s="379">
        <f t="shared" si="57"/>
        <v>0</v>
      </c>
      <c r="AI177" s="379">
        <f t="shared" si="57"/>
        <v>0</v>
      </c>
      <c r="AJ177" s="379">
        <f t="shared" si="57"/>
        <v>0</v>
      </c>
      <c r="AK177" s="379">
        <f t="shared" si="57"/>
        <v>0</v>
      </c>
      <c r="AL177" s="379">
        <f t="shared" si="57"/>
        <v>0</v>
      </c>
      <c r="AM177" s="379">
        <f t="shared" si="57"/>
        <v>0</v>
      </c>
      <c r="AN177" s="490">
        <f t="shared" si="57"/>
        <v>0</v>
      </c>
      <c r="AO177" s="379">
        <f t="shared" si="57"/>
        <v>0</v>
      </c>
      <c r="AP177" s="379">
        <f t="shared" si="57"/>
        <v>0</v>
      </c>
      <c r="AQ177" s="379">
        <f t="shared" si="57"/>
        <v>0</v>
      </c>
      <c r="AR177" s="379">
        <f t="shared" si="57"/>
        <v>0</v>
      </c>
      <c r="AS177" s="379">
        <f t="shared" si="57"/>
        <v>0</v>
      </c>
      <c r="AT177" s="379">
        <f t="shared" si="57"/>
        <v>0</v>
      </c>
      <c r="AU177" s="379">
        <f t="shared" si="57"/>
        <v>0</v>
      </c>
      <c r="AV177" s="379">
        <f t="shared" si="57"/>
        <v>0</v>
      </c>
      <c r="AW177" s="379">
        <f t="shared" si="57"/>
        <v>0</v>
      </c>
      <c r="AX177" s="379">
        <f t="shared" si="57"/>
        <v>0</v>
      </c>
      <c r="AY177" s="379">
        <f t="shared" si="57"/>
        <v>0</v>
      </c>
    </row>
    <row r="178" spans="1:51" x14ac:dyDescent="0.2">
      <c r="A178" s="376"/>
      <c r="B178" s="383"/>
      <c r="C178" s="376" t="s">
        <v>268</v>
      </c>
      <c r="D178" s="376"/>
      <c r="E178" s="488"/>
      <c r="F178" s="384"/>
      <c r="G178" s="379">
        <f t="shared" ref="G178:AY178" si="58">AVERAGE(G144:G173)</f>
        <v>149149.5</v>
      </c>
      <c r="H178" s="379">
        <f t="shared" si="58"/>
        <v>53705.2</v>
      </c>
      <c r="I178" s="379">
        <f t="shared" si="58"/>
        <v>450.24799999999993</v>
      </c>
      <c r="J178" s="379" t="e">
        <f t="shared" si="58"/>
        <v>#DIV/0!</v>
      </c>
      <c r="K178" s="379">
        <f t="shared" si="58"/>
        <v>48935.4</v>
      </c>
      <c r="L178" s="379">
        <f t="shared" si="58"/>
        <v>0</v>
      </c>
      <c r="M178" s="379">
        <f t="shared" si="58"/>
        <v>48232.033333333333</v>
      </c>
      <c r="N178" s="379">
        <f t="shared" si="58"/>
        <v>26250.233333333334</v>
      </c>
      <c r="O178" s="379">
        <f t="shared" si="58"/>
        <v>2717.1</v>
      </c>
      <c r="P178" s="379" t="e">
        <f t="shared" si="58"/>
        <v>#DIV/0!</v>
      </c>
      <c r="Q178" s="379">
        <f t="shared" si="58"/>
        <v>0</v>
      </c>
      <c r="R178" s="379">
        <f t="shared" si="58"/>
        <v>0</v>
      </c>
      <c r="S178" s="379">
        <f t="shared" si="58"/>
        <v>0</v>
      </c>
      <c r="T178" s="379">
        <f t="shared" si="58"/>
        <v>0</v>
      </c>
      <c r="U178" s="379">
        <f t="shared" si="58"/>
        <v>0</v>
      </c>
      <c r="V178" s="379">
        <f t="shared" si="58"/>
        <v>0</v>
      </c>
      <c r="W178" s="379">
        <f t="shared" si="58"/>
        <v>0</v>
      </c>
      <c r="X178" s="379">
        <f t="shared" si="58"/>
        <v>0</v>
      </c>
      <c r="Y178" s="379">
        <f t="shared" si="58"/>
        <v>0</v>
      </c>
      <c r="Z178" s="379">
        <f t="shared" si="58"/>
        <v>0</v>
      </c>
      <c r="AA178" s="379">
        <f t="shared" si="58"/>
        <v>0</v>
      </c>
      <c r="AB178" s="379">
        <f t="shared" si="58"/>
        <v>0</v>
      </c>
      <c r="AC178" s="379">
        <f t="shared" si="58"/>
        <v>0</v>
      </c>
      <c r="AD178" s="379">
        <f t="shared" si="58"/>
        <v>0</v>
      </c>
      <c r="AE178" s="379">
        <f t="shared" si="58"/>
        <v>0</v>
      </c>
      <c r="AF178" s="379">
        <f t="shared" si="58"/>
        <v>0</v>
      </c>
      <c r="AG178" s="379">
        <f t="shared" si="58"/>
        <v>0</v>
      </c>
      <c r="AH178" s="379">
        <f t="shared" si="58"/>
        <v>0</v>
      </c>
      <c r="AI178" s="379">
        <f t="shared" si="58"/>
        <v>0</v>
      </c>
      <c r="AJ178" s="379">
        <f t="shared" si="58"/>
        <v>0</v>
      </c>
      <c r="AK178" s="379">
        <f t="shared" si="58"/>
        <v>0</v>
      </c>
      <c r="AL178" s="379">
        <f t="shared" si="58"/>
        <v>0</v>
      </c>
      <c r="AM178" s="379">
        <f t="shared" si="58"/>
        <v>0</v>
      </c>
      <c r="AN178" s="490">
        <f t="shared" si="58"/>
        <v>0</v>
      </c>
      <c r="AO178" s="379">
        <f t="shared" si="58"/>
        <v>0</v>
      </c>
      <c r="AP178" s="379">
        <f t="shared" si="58"/>
        <v>0</v>
      </c>
      <c r="AQ178" s="379">
        <f t="shared" si="58"/>
        <v>0</v>
      </c>
      <c r="AR178" s="379">
        <f t="shared" si="58"/>
        <v>0</v>
      </c>
      <c r="AS178" s="379">
        <f t="shared" si="58"/>
        <v>0</v>
      </c>
      <c r="AT178" s="379">
        <f t="shared" si="58"/>
        <v>0</v>
      </c>
      <c r="AU178" s="379">
        <f t="shared" si="58"/>
        <v>0</v>
      </c>
      <c r="AV178" s="379">
        <f t="shared" si="58"/>
        <v>0</v>
      </c>
      <c r="AW178" s="379">
        <f t="shared" si="58"/>
        <v>0</v>
      </c>
      <c r="AX178" s="379">
        <f t="shared" si="58"/>
        <v>0</v>
      </c>
      <c r="AY178" s="379">
        <f t="shared" si="58"/>
        <v>0</v>
      </c>
    </row>
    <row r="179" spans="1:51" ht="13.5" thickBot="1" x14ac:dyDescent="0.25">
      <c r="A179" s="386"/>
      <c r="B179" s="387"/>
      <c r="C179" s="386" t="s">
        <v>269</v>
      </c>
      <c r="D179" s="386"/>
      <c r="E179" s="491"/>
      <c r="F179" s="384"/>
      <c r="G179" s="388">
        <f t="shared" ref="G179:AY179" si="59">MEDIAN(G144:G173)</f>
        <v>150363</v>
      </c>
      <c r="H179" s="388">
        <f t="shared" si="59"/>
        <v>53714</v>
      </c>
      <c r="I179" s="388">
        <f t="shared" si="59"/>
        <v>441.5</v>
      </c>
      <c r="J179" s="388" t="e">
        <f t="shared" si="59"/>
        <v>#NUM!</v>
      </c>
      <c r="K179" s="388">
        <f t="shared" si="59"/>
        <v>42788</v>
      </c>
      <c r="L179" s="388">
        <f t="shared" si="59"/>
        <v>0</v>
      </c>
      <c r="M179" s="388">
        <f t="shared" si="59"/>
        <v>42785.5</v>
      </c>
      <c r="N179" s="388">
        <f t="shared" si="59"/>
        <v>18899</v>
      </c>
      <c r="O179" s="388">
        <f t="shared" si="59"/>
        <v>0</v>
      </c>
      <c r="P179" s="388" t="e">
        <f t="shared" si="59"/>
        <v>#NUM!</v>
      </c>
      <c r="Q179" s="388">
        <f t="shared" si="59"/>
        <v>0</v>
      </c>
      <c r="R179" s="388">
        <f t="shared" si="59"/>
        <v>0</v>
      </c>
      <c r="S179" s="388">
        <f t="shared" si="59"/>
        <v>0</v>
      </c>
      <c r="T179" s="388">
        <f t="shared" si="59"/>
        <v>0</v>
      </c>
      <c r="U179" s="388">
        <f t="shared" si="59"/>
        <v>0</v>
      </c>
      <c r="V179" s="388">
        <f t="shared" si="59"/>
        <v>0</v>
      </c>
      <c r="W179" s="388">
        <f t="shared" si="59"/>
        <v>0</v>
      </c>
      <c r="X179" s="388">
        <f t="shared" si="59"/>
        <v>0</v>
      </c>
      <c r="Y179" s="388">
        <f t="shared" si="59"/>
        <v>0</v>
      </c>
      <c r="Z179" s="388">
        <f t="shared" si="59"/>
        <v>0</v>
      </c>
      <c r="AA179" s="388">
        <f t="shared" si="59"/>
        <v>0</v>
      </c>
      <c r="AB179" s="388">
        <f t="shared" si="59"/>
        <v>0</v>
      </c>
      <c r="AC179" s="388">
        <f t="shared" si="59"/>
        <v>0</v>
      </c>
      <c r="AD179" s="388">
        <f t="shared" si="59"/>
        <v>0</v>
      </c>
      <c r="AE179" s="388">
        <f t="shared" si="59"/>
        <v>0</v>
      </c>
      <c r="AF179" s="388">
        <f t="shared" si="59"/>
        <v>0</v>
      </c>
      <c r="AG179" s="388">
        <f t="shared" si="59"/>
        <v>0</v>
      </c>
      <c r="AH179" s="388">
        <f t="shared" si="59"/>
        <v>0</v>
      </c>
      <c r="AI179" s="388">
        <f t="shared" si="59"/>
        <v>0</v>
      </c>
      <c r="AJ179" s="388">
        <f t="shared" si="59"/>
        <v>0</v>
      </c>
      <c r="AK179" s="388">
        <f t="shared" si="59"/>
        <v>0</v>
      </c>
      <c r="AL179" s="388">
        <f t="shared" si="59"/>
        <v>0</v>
      </c>
      <c r="AM179" s="388">
        <f t="shared" si="59"/>
        <v>0</v>
      </c>
      <c r="AN179" s="492">
        <f t="shared" si="59"/>
        <v>0</v>
      </c>
      <c r="AO179" s="388">
        <f t="shared" si="59"/>
        <v>0</v>
      </c>
      <c r="AP179" s="388">
        <f t="shared" si="59"/>
        <v>0</v>
      </c>
      <c r="AQ179" s="388">
        <f t="shared" si="59"/>
        <v>0</v>
      </c>
      <c r="AR179" s="388">
        <f t="shared" si="59"/>
        <v>0</v>
      </c>
      <c r="AS179" s="388">
        <f t="shared" si="59"/>
        <v>0</v>
      </c>
      <c r="AT179" s="388">
        <f t="shared" si="59"/>
        <v>0</v>
      </c>
      <c r="AU179" s="388">
        <f t="shared" si="59"/>
        <v>0</v>
      </c>
      <c r="AV179" s="388">
        <f t="shared" si="59"/>
        <v>0</v>
      </c>
      <c r="AW179" s="388">
        <f t="shared" si="59"/>
        <v>0</v>
      </c>
      <c r="AX179" s="388">
        <f t="shared" si="59"/>
        <v>0</v>
      </c>
      <c r="AY179" s="388">
        <f t="shared" si="59"/>
        <v>0</v>
      </c>
    </row>
    <row r="180" spans="1:51" ht="13.5" thickTop="1" x14ac:dyDescent="0.2">
      <c r="B180" s="493" t="s">
        <v>261</v>
      </c>
      <c r="F180"/>
      <c r="G180"/>
      <c r="H180"/>
      <c r="I180"/>
      <c r="J180"/>
      <c r="K180"/>
      <c r="L180" s="278"/>
    </row>
    <row r="181" spans="1:51" x14ac:dyDescent="0.2">
      <c r="B181" s="493"/>
      <c r="G181" s="370"/>
      <c r="H181" s="370"/>
      <c r="I181" s="370"/>
      <c r="J181" s="370"/>
      <c r="K181" s="370"/>
      <c r="L181" s="370"/>
    </row>
    <row r="182" spans="1:51" x14ac:dyDescent="0.2">
      <c r="G182" s="370"/>
      <c r="H182" s="370"/>
      <c r="I182" s="370"/>
      <c r="J182" s="370"/>
      <c r="K182" s="370"/>
      <c r="L182" s="370"/>
    </row>
    <row r="183" spans="1:51" ht="15.75" x14ac:dyDescent="0.25">
      <c r="B183" s="371" t="s">
        <v>19</v>
      </c>
      <c r="C183" s="501"/>
      <c r="D183" s="501"/>
      <c r="E183" s="502"/>
      <c r="F183" s="374"/>
      <c r="G183" s="375"/>
      <c r="H183" s="375"/>
      <c r="I183" s="375"/>
      <c r="J183" s="375"/>
      <c r="K183" s="375"/>
      <c r="L183" s="375"/>
    </row>
    <row r="184" spans="1:51" x14ac:dyDescent="0.2">
      <c r="A184" s="376">
        <v>11650</v>
      </c>
      <c r="B184" s="378" t="str">
        <f t="shared" ref="B184:B195" si="60">VLOOKUP($A184,$A$5:$L$133,2,FALSE)</f>
        <v>Central Coast (C) (NSW)</v>
      </c>
      <c r="C184" s="377" t="str">
        <f t="shared" ref="C184:C195" si="61">VLOOKUP($A184,$A$5:$L$133,3,FALSE)</f>
        <v>Hunter</v>
      </c>
      <c r="D184" s="503" t="str">
        <f t="shared" ref="D184:D195" si="62">VLOOKUP($A184,$A$5:$L$133,4,FALSE)</f>
        <v>E</v>
      </c>
      <c r="E184" s="503"/>
      <c r="F184"/>
      <c r="G184" s="379">
        <f t="shared" ref="G184:G195" si="63">VLOOKUP($A184,$A$5:$AY$132,7,FALSE)</f>
        <v>334857</v>
      </c>
      <c r="H184" s="379">
        <f t="shared" ref="H184:H195" si="64">VLOOKUP($A184,$A$5:$AY$132,8,FALSE)</f>
        <v>130469</v>
      </c>
      <c r="I184" s="379">
        <f t="shared" ref="I184:I195" si="65">VLOOKUP($A184,$A$5:$AY$132,9,FALSE)</f>
        <v>447</v>
      </c>
      <c r="J184" s="379" t="str">
        <f t="shared" ref="J184:J195" si="66">VLOOKUP($A184,$A$5:$AY$132,10,FALSE)</f>
        <v>Y</v>
      </c>
      <c r="K184" s="379">
        <f t="shared" ref="K184:K195" si="67">VLOOKUP($A184,$A$5:$AY$132,11,FALSE)</f>
        <v>131869</v>
      </c>
      <c r="L184" s="379">
        <f t="shared" ref="L184:L195" si="68">VLOOKUP($A184,$A$5:$AY$132,12,FALSE)</f>
        <v>0</v>
      </c>
      <c r="M184" s="379">
        <f t="shared" ref="M184:M195" si="69">VLOOKUP($A184,$A$4:$AY$132,13,FALSE)</f>
        <v>132191</v>
      </c>
      <c r="N184" s="379">
        <f t="shared" ref="N184:N195" si="70">VLOOKUP($A184,$A$4:$AY$132,14,FALSE)</f>
        <v>123590</v>
      </c>
      <c r="O184" s="379">
        <f t="shared" ref="O184:O195" si="71">VLOOKUP($A184,$A$4:$AY$132,15,FALSE)</f>
        <v>0</v>
      </c>
      <c r="P184" s="379" t="str">
        <f t="shared" ref="P184:P195" si="72">VLOOKUP($A184,$A$4:$AY$132,16,FALSE)</f>
        <v>Y</v>
      </c>
      <c r="Q184" s="379" t="str">
        <f t="shared" ref="Q184:Q195" si="73">VLOOKUP($A184,$A$4:$AY$132,17,FALSE)</f>
        <v>Y</v>
      </c>
      <c r="R184" s="379" t="str">
        <f t="shared" ref="R184:R195" si="74">VLOOKUP($A184,$A$4:$AY$132,18,FALSE)</f>
        <v>Buttonderrry</v>
      </c>
      <c r="S184" s="379" t="str">
        <f t="shared" ref="S184:S195" si="75">VLOOKUP($A184,$A$4:$AY$132,19,FALSE)</f>
        <v>Kincumber</v>
      </c>
      <c r="T184" s="379" t="str">
        <f t="shared" ref="T184:T195" si="76">VLOOKUP($A184,$A$4:$AY$132,20,FALSE)</f>
        <v>Woy Woy</v>
      </c>
      <c r="U184" s="379">
        <f t="shared" ref="U184:U195" si="77">VLOOKUP($A184,$A$4:$AY$132,21,FALSE)</f>
        <v>0</v>
      </c>
      <c r="V184" s="379">
        <f t="shared" ref="V184:V195" si="78">VLOOKUP($A184,$A$4:$AY$132,22,FALSE)</f>
        <v>0</v>
      </c>
      <c r="W184" s="379">
        <f t="shared" ref="W184:W195" si="79">VLOOKUP($A184,$A$4:$AY$132,23,FALSE)</f>
        <v>0</v>
      </c>
      <c r="X184" s="379">
        <f t="shared" ref="X184:X195" si="80">VLOOKUP($A184,$A$4:$AY$132,24,FALSE)</f>
        <v>0</v>
      </c>
      <c r="Y184" s="379">
        <f t="shared" ref="Y184:Y195" si="81">VLOOKUP($A184,$A$4:$AY$132,25,FALSE)</f>
        <v>0</v>
      </c>
      <c r="Z184" s="379">
        <f t="shared" ref="Z184:Z195" si="82">VLOOKUP($A184,$A$4:$AY$132,26,FALSE)</f>
        <v>0</v>
      </c>
      <c r="AA184" s="379">
        <f t="shared" ref="AA184:AA195" si="83">VLOOKUP($A184,$A$4:$AY$132,27,FALSE)</f>
        <v>0</v>
      </c>
      <c r="AB184" s="379">
        <f t="shared" ref="AB184:AB195" si="84">VLOOKUP($A184,$A$4:$AY$132,28,FALSE)</f>
        <v>0</v>
      </c>
      <c r="AC184" s="379">
        <f t="shared" ref="AC184:AC195" si="85">VLOOKUP($A184,$A$4:$AY$132,29,FALSE)</f>
        <v>0</v>
      </c>
      <c r="AD184" s="379">
        <f t="shared" ref="AD184:AD195" si="86">VLOOKUP($A184,$A$4:$AY$132,30,FALSE)</f>
        <v>0</v>
      </c>
      <c r="AE184" s="379">
        <f t="shared" ref="AE184:AE195" si="87">VLOOKUP($A184,$A$4:$AY$132,31,FALSE)</f>
        <v>0</v>
      </c>
      <c r="AF184" s="379">
        <f t="shared" ref="AF184:AF195" si="88">VLOOKUP($A184,$A$4:$AY$132,32,FALSE)</f>
        <v>0</v>
      </c>
      <c r="AG184" s="379">
        <f t="shared" ref="AG184:AG195" si="89">VLOOKUP($A184,$A$4:$AY$132,33,FALSE)</f>
        <v>0</v>
      </c>
      <c r="AH184" s="379">
        <f t="shared" ref="AH184:AH195" si="90">VLOOKUP($A184,$A$4:$AY$132,34,FALSE)</f>
        <v>0</v>
      </c>
      <c r="AI184" s="379">
        <f t="shared" ref="AI184:AI195" si="91">VLOOKUP($A184,$A$4:$AY$132,35,FALSE)</f>
        <v>0</v>
      </c>
      <c r="AJ184" s="379">
        <f t="shared" ref="AJ184:AJ195" si="92">VLOOKUP($A184,$A$4:$AY$132,36,FALSE)</f>
        <v>0</v>
      </c>
      <c r="AK184" s="379">
        <f t="shared" ref="AK184:AK195" si="93">VLOOKUP($A184,$A$4:$AY$132,37,FALSE)</f>
        <v>0</v>
      </c>
      <c r="AL184" s="379">
        <f t="shared" ref="AL184:AL195" si="94">VLOOKUP($A184,$A$4:$AY$132,38,FALSE)</f>
        <v>0</v>
      </c>
      <c r="AM184" s="379">
        <f t="shared" ref="AM184:AM195" si="95">VLOOKUP($A184,$A$4:$AY$132,39,FALSE)</f>
        <v>0</v>
      </c>
      <c r="AN184" s="490">
        <f t="shared" ref="AN184:AN195" si="96">VLOOKUP($A184,$A$4:$AY$132,40,FALSE)</f>
        <v>0</v>
      </c>
      <c r="AO184" s="379">
        <f t="shared" ref="AO184:AO195" si="97">VLOOKUP($A184,$A$4:$AY$132,41,FALSE)</f>
        <v>0</v>
      </c>
      <c r="AP184" s="379">
        <f t="shared" ref="AP184:AP195" si="98">VLOOKUP($A184,$A$4:$AY$132,42,FALSE)</f>
        <v>0</v>
      </c>
      <c r="AQ184" s="379">
        <f t="shared" ref="AQ184:AQ195" si="99">VLOOKUP($A184,$A$4:$AY$132,43,FALSE)</f>
        <v>0</v>
      </c>
      <c r="AR184" s="379">
        <f t="shared" ref="AR184:AR195" si="100">VLOOKUP($A184,$A$4:$AY$132,44,FALSE)</f>
        <v>0</v>
      </c>
      <c r="AS184" s="379">
        <f t="shared" ref="AS184:AS195" si="101">VLOOKUP($A184,$A$4:$AY$132,45,FALSE)</f>
        <v>0</v>
      </c>
      <c r="AT184" s="379">
        <f t="shared" ref="AT184:AT195" si="102">VLOOKUP($A184,$A$4:$AY$132,46,FALSE)</f>
        <v>0</v>
      </c>
      <c r="AU184" s="379">
        <f t="shared" ref="AU184:AU195" si="103">VLOOKUP($A184,$A$4:$AY$132,47,FALSE)</f>
        <v>0</v>
      </c>
      <c r="AV184" s="379">
        <f t="shared" ref="AV184:AV195" si="104">VLOOKUP($A184,$A$4:$AY$132,48,FALSE)</f>
        <v>0</v>
      </c>
      <c r="AW184" s="379">
        <f t="shared" ref="AW184:AW195" si="105">VLOOKUP($A184,$A$4:$AY$132,49,FALSE)</f>
        <v>0</v>
      </c>
      <c r="AX184" s="379">
        <f t="shared" ref="AX184:AX195" si="106">VLOOKUP($A184,$A$4:$AY$132,50,FALSE)</f>
        <v>0</v>
      </c>
      <c r="AY184" s="379">
        <f t="shared" ref="AY184:AY195" si="107">VLOOKUP($A184,$A$4:$AY$132,51,FALSE)</f>
        <v>0</v>
      </c>
    </row>
    <row r="185" spans="1:51" x14ac:dyDescent="0.2">
      <c r="A185" s="376">
        <v>11720</v>
      </c>
      <c r="B185" s="378" t="str">
        <f t="shared" si="60"/>
        <v>Cessnock (C)</v>
      </c>
      <c r="C185" s="377" t="str">
        <f t="shared" si="61"/>
        <v>Hunter</v>
      </c>
      <c r="D185" s="503" t="str">
        <f t="shared" si="62"/>
        <v>E</v>
      </c>
      <c r="E185" s="503"/>
      <c r="F185"/>
      <c r="G185" s="379">
        <f t="shared" si="63"/>
        <v>56532</v>
      </c>
      <c r="H185" s="379">
        <f t="shared" si="64"/>
        <v>24194</v>
      </c>
      <c r="I185" s="379">
        <f t="shared" si="65"/>
        <v>540</v>
      </c>
      <c r="J185" s="379" t="str">
        <f t="shared" si="66"/>
        <v>Y</v>
      </c>
      <c r="K185" s="379">
        <f t="shared" si="67"/>
        <v>21230</v>
      </c>
      <c r="L185" s="379">
        <f t="shared" si="68"/>
        <v>0</v>
      </c>
      <c r="M185" s="379">
        <f t="shared" si="69"/>
        <v>21230</v>
      </c>
      <c r="N185" s="379">
        <f t="shared" si="70"/>
        <v>21230</v>
      </c>
      <c r="O185" s="379">
        <f t="shared" si="71"/>
        <v>0</v>
      </c>
      <c r="P185" s="379">
        <f t="shared" si="72"/>
        <v>0</v>
      </c>
      <c r="Q185" s="379" t="str">
        <f t="shared" si="73"/>
        <v>Y</v>
      </c>
      <c r="R185" s="379" t="str">
        <f t="shared" si="74"/>
        <v>Cessnock Waste Management Centre</v>
      </c>
      <c r="S185" s="379">
        <f t="shared" si="75"/>
        <v>0</v>
      </c>
      <c r="T185" s="379">
        <f t="shared" si="76"/>
        <v>0</v>
      </c>
      <c r="U185" s="379">
        <f t="shared" si="77"/>
        <v>0</v>
      </c>
      <c r="V185" s="379">
        <f t="shared" si="78"/>
        <v>0</v>
      </c>
      <c r="W185" s="379">
        <f t="shared" si="79"/>
        <v>0</v>
      </c>
      <c r="X185" s="379">
        <f t="shared" si="80"/>
        <v>0</v>
      </c>
      <c r="Y185" s="379">
        <f t="shared" si="81"/>
        <v>0</v>
      </c>
      <c r="Z185" s="379">
        <f t="shared" si="82"/>
        <v>0</v>
      </c>
      <c r="AA185" s="379">
        <f t="shared" si="83"/>
        <v>0</v>
      </c>
      <c r="AB185" s="379">
        <f t="shared" si="84"/>
        <v>0</v>
      </c>
      <c r="AC185" s="379">
        <f t="shared" si="85"/>
        <v>0</v>
      </c>
      <c r="AD185" s="379">
        <f t="shared" si="86"/>
        <v>0</v>
      </c>
      <c r="AE185" s="379">
        <f t="shared" si="87"/>
        <v>0</v>
      </c>
      <c r="AF185" s="379">
        <f t="shared" si="88"/>
        <v>0</v>
      </c>
      <c r="AG185" s="379">
        <f t="shared" si="89"/>
        <v>0</v>
      </c>
      <c r="AH185" s="379">
        <f t="shared" si="90"/>
        <v>0</v>
      </c>
      <c r="AI185" s="379">
        <f t="shared" si="91"/>
        <v>0</v>
      </c>
      <c r="AJ185" s="379">
        <f t="shared" si="92"/>
        <v>0</v>
      </c>
      <c r="AK185" s="379">
        <f t="shared" si="93"/>
        <v>0</v>
      </c>
      <c r="AL185" s="379">
        <f t="shared" si="94"/>
        <v>0</v>
      </c>
      <c r="AM185" s="379">
        <f t="shared" si="95"/>
        <v>0</v>
      </c>
      <c r="AN185" s="490">
        <f t="shared" si="96"/>
        <v>0</v>
      </c>
      <c r="AO185" s="379">
        <f t="shared" si="97"/>
        <v>0</v>
      </c>
      <c r="AP185" s="379">
        <f t="shared" si="98"/>
        <v>0</v>
      </c>
      <c r="AQ185" s="379">
        <f t="shared" si="99"/>
        <v>0</v>
      </c>
      <c r="AR185" s="379">
        <f t="shared" si="100"/>
        <v>0</v>
      </c>
      <c r="AS185" s="379">
        <f t="shared" si="101"/>
        <v>0</v>
      </c>
      <c r="AT185" s="379">
        <f t="shared" si="102"/>
        <v>0</v>
      </c>
      <c r="AU185" s="379">
        <f t="shared" si="103"/>
        <v>0</v>
      </c>
      <c r="AV185" s="379">
        <f t="shared" si="104"/>
        <v>0</v>
      </c>
      <c r="AW185" s="379">
        <f t="shared" si="105"/>
        <v>0</v>
      </c>
      <c r="AX185" s="379">
        <f t="shared" si="106"/>
        <v>0</v>
      </c>
      <c r="AY185" s="379">
        <f t="shared" si="107"/>
        <v>0</v>
      </c>
    </row>
    <row r="186" spans="1:51" x14ac:dyDescent="0.2">
      <c r="A186" s="376">
        <v>13800</v>
      </c>
      <c r="B186" s="378" t="str">
        <f t="shared" si="60"/>
        <v>Hawkesbury (C)</v>
      </c>
      <c r="C186" s="377" t="str">
        <f t="shared" si="61"/>
        <v>WSROC</v>
      </c>
      <c r="D186" s="503" t="str">
        <f t="shared" si="62"/>
        <v>E</v>
      </c>
      <c r="E186" s="503"/>
      <c r="F186"/>
      <c r="G186" s="379">
        <f t="shared" si="63"/>
        <v>66782</v>
      </c>
      <c r="H186" s="379">
        <f t="shared" si="64"/>
        <v>24056</v>
      </c>
      <c r="I186" s="379">
        <f t="shared" si="65"/>
        <v>515.21</v>
      </c>
      <c r="J186" s="379" t="str">
        <f t="shared" si="66"/>
        <v>Y</v>
      </c>
      <c r="K186" s="379">
        <f t="shared" si="67"/>
        <v>22599</v>
      </c>
      <c r="L186" s="379">
        <f t="shared" si="68"/>
        <v>0</v>
      </c>
      <c r="M186" s="379">
        <f t="shared" si="69"/>
        <v>22599</v>
      </c>
      <c r="N186" s="379">
        <f t="shared" si="70"/>
        <v>13180</v>
      </c>
      <c r="O186" s="379">
        <f t="shared" si="71"/>
        <v>0</v>
      </c>
      <c r="P186" s="379" t="str">
        <f t="shared" si="72"/>
        <v>Y</v>
      </c>
      <c r="Q186" s="379" t="str">
        <f t="shared" si="73"/>
        <v>Y</v>
      </c>
      <c r="R186" s="379" t="str">
        <f t="shared" si="74"/>
        <v>Hawkesbury City Waste Management Facility</v>
      </c>
      <c r="S186" s="379">
        <f t="shared" si="75"/>
        <v>0</v>
      </c>
      <c r="T186" s="379">
        <f t="shared" si="76"/>
        <v>0</v>
      </c>
      <c r="U186" s="379">
        <f t="shared" si="77"/>
        <v>0</v>
      </c>
      <c r="V186" s="379">
        <f t="shared" si="78"/>
        <v>0</v>
      </c>
      <c r="W186" s="379">
        <f t="shared" si="79"/>
        <v>0</v>
      </c>
      <c r="X186" s="379">
        <f t="shared" si="80"/>
        <v>0</v>
      </c>
      <c r="Y186" s="379">
        <f t="shared" si="81"/>
        <v>0</v>
      </c>
      <c r="Z186" s="379">
        <f t="shared" si="82"/>
        <v>0</v>
      </c>
      <c r="AA186" s="379">
        <f t="shared" si="83"/>
        <v>0</v>
      </c>
      <c r="AB186" s="379">
        <f t="shared" si="84"/>
        <v>0</v>
      </c>
      <c r="AC186" s="379">
        <f t="shared" si="85"/>
        <v>0</v>
      </c>
      <c r="AD186" s="379">
        <f t="shared" si="86"/>
        <v>0</v>
      </c>
      <c r="AE186" s="379">
        <f t="shared" si="87"/>
        <v>0</v>
      </c>
      <c r="AF186" s="379">
        <f t="shared" si="88"/>
        <v>0</v>
      </c>
      <c r="AG186" s="379">
        <f t="shared" si="89"/>
        <v>0</v>
      </c>
      <c r="AH186" s="379">
        <f t="shared" si="90"/>
        <v>0</v>
      </c>
      <c r="AI186" s="379">
        <f t="shared" si="91"/>
        <v>0</v>
      </c>
      <c r="AJ186" s="379">
        <f t="shared" si="92"/>
        <v>0</v>
      </c>
      <c r="AK186" s="379">
        <f t="shared" si="93"/>
        <v>0</v>
      </c>
      <c r="AL186" s="379">
        <f t="shared" si="94"/>
        <v>0</v>
      </c>
      <c r="AM186" s="379">
        <f t="shared" si="95"/>
        <v>0</v>
      </c>
      <c r="AN186" s="490">
        <f t="shared" si="96"/>
        <v>0</v>
      </c>
      <c r="AO186" s="379">
        <f t="shared" si="97"/>
        <v>0</v>
      </c>
      <c r="AP186" s="379">
        <f t="shared" si="98"/>
        <v>0</v>
      </c>
      <c r="AQ186" s="379">
        <f t="shared" si="99"/>
        <v>0</v>
      </c>
      <c r="AR186" s="379">
        <f t="shared" si="100"/>
        <v>0</v>
      </c>
      <c r="AS186" s="379">
        <f t="shared" si="101"/>
        <v>0</v>
      </c>
      <c r="AT186" s="379">
        <f t="shared" si="102"/>
        <v>0</v>
      </c>
      <c r="AU186" s="379">
        <f t="shared" si="103"/>
        <v>0</v>
      </c>
      <c r="AV186" s="379">
        <f t="shared" si="104"/>
        <v>0</v>
      </c>
      <c r="AW186" s="379">
        <f t="shared" si="105"/>
        <v>0</v>
      </c>
      <c r="AX186" s="379">
        <f t="shared" si="106"/>
        <v>0</v>
      </c>
      <c r="AY186" s="379">
        <f t="shared" si="107"/>
        <v>0</v>
      </c>
    </row>
    <row r="187" spans="1:51" x14ac:dyDescent="0.2">
      <c r="A187" s="376">
        <v>14400</v>
      </c>
      <c r="B187" s="378" t="str">
        <f t="shared" si="60"/>
        <v>Kiama (A)</v>
      </c>
      <c r="C187" s="377" t="str">
        <f t="shared" si="61"/>
        <v>ISJO</v>
      </c>
      <c r="D187" s="503" t="str">
        <f t="shared" si="62"/>
        <v>E</v>
      </c>
      <c r="E187" s="503"/>
      <c r="F187"/>
      <c r="G187" s="379">
        <f t="shared" si="63"/>
        <v>21671</v>
      </c>
      <c r="H187" s="379">
        <f t="shared" si="64"/>
        <v>10000</v>
      </c>
      <c r="I187" s="379">
        <f t="shared" si="65"/>
        <v>528.6</v>
      </c>
      <c r="J187" s="379" t="str">
        <f t="shared" si="66"/>
        <v>Y</v>
      </c>
      <c r="K187" s="379">
        <f t="shared" si="67"/>
        <v>8874</v>
      </c>
      <c r="L187" s="379">
        <f t="shared" si="68"/>
        <v>0</v>
      </c>
      <c r="M187" s="379">
        <f t="shared" si="69"/>
        <v>9377</v>
      </c>
      <c r="N187" s="379">
        <f t="shared" si="70"/>
        <v>0</v>
      </c>
      <c r="O187" s="379">
        <f t="shared" si="71"/>
        <v>8874</v>
      </c>
      <c r="P187" s="379" t="str">
        <f t="shared" si="72"/>
        <v>Y</v>
      </c>
      <c r="Q187" s="379" t="str">
        <f t="shared" si="73"/>
        <v>Y</v>
      </c>
      <c r="R187" s="379" t="str">
        <f t="shared" si="74"/>
        <v>Minnamurra CRC</v>
      </c>
      <c r="S187" s="379" t="str">
        <f t="shared" si="75"/>
        <v>Minnamurra Waste Depot</v>
      </c>
      <c r="T187" s="379">
        <f t="shared" si="76"/>
        <v>0</v>
      </c>
      <c r="U187" s="379">
        <f t="shared" si="77"/>
        <v>0</v>
      </c>
      <c r="V187" s="379">
        <f t="shared" si="78"/>
        <v>0</v>
      </c>
      <c r="W187" s="379">
        <f t="shared" si="79"/>
        <v>0</v>
      </c>
      <c r="X187" s="379">
        <f t="shared" si="80"/>
        <v>0</v>
      </c>
      <c r="Y187" s="379">
        <f t="shared" si="81"/>
        <v>0</v>
      </c>
      <c r="Z187" s="379">
        <f t="shared" si="82"/>
        <v>0</v>
      </c>
      <c r="AA187" s="379">
        <f t="shared" si="83"/>
        <v>0</v>
      </c>
      <c r="AB187" s="379">
        <f t="shared" si="84"/>
        <v>0</v>
      </c>
      <c r="AC187" s="379">
        <f t="shared" si="85"/>
        <v>0</v>
      </c>
      <c r="AD187" s="379">
        <f t="shared" si="86"/>
        <v>0</v>
      </c>
      <c r="AE187" s="379">
        <f t="shared" si="87"/>
        <v>0</v>
      </c>
      <c r="AF187" s="379">
        <f t="shared" si="88"/>
        <v>0</v>
      </c>
      <c r="AG187" s="379">
        <f t="shared" si="89"/>
        <v>0</v>
      </c>
      <c r="AH187" s="379">
        <f t="shared" si="90"/>
        <v>0</v>
      </c>
      <c r="AI187" s="379">
        <f t="shared" si="91"/>
        <v>0</v>
      </c>
      <c r="AJ187" s="379">
        <f t="shared" si="92"/>
        <v>0</v>
      </c>
      <c r="AK187" s="379">
        <f t="shared" si="93"/>
        <v>0</v>
      </c>
      <c r="AL187" s="379">
        <f t="shared" si="94"/>
        <v>0</v>
      </c>
      <c r="AM187" s="379">
        <f t="shared" si="95"/>
        <v>0</v>
      </c>
      <c r="AN187" s="490">
        <f t="shared" si="96"/>
        <v>0</v>
      </c>
      <c r="AO187" s="379">
        <f t="shared" si="97"/>
        <v>0</v>
      </c>
      <c r="AP187" s="379">
        <f t="shared" si="98"/>
        <v>0</v>
      </c>
      <c r="AQ187" s="379">
        <f t="shared" si="99"/>
        <v>0</v>
      </c>
      <c r="AR187" s="379">
        <f t="shared" si="100"/>
        <v>0</v>
      </c>
      <c r="AS187" s="379">
        <f t="shared" si="101"/>
        <v>0</v>
      </c>
      <c r="AT187" s="379">
        <f t="shared" si="102"/>
        <v>0</v>
      </c>
      <c r="AU187" s="379">
        <f t="shared" si="103"/>
        <v>0</v>
      </c>
      <c r="AV187" s="379">
        <f t="shared" si="104"/>
        <v>0</v>
      </c>
      <c r="AW187" s="379">
        <f t="shared" si="105"/>
        <v>0</v>
      </c>
      <c r="AX187" s="379">
        <f t="shared" si="106"/>
        <v>0</v>
      </c>
      <c r="AY187" s="379">
        <f t="shared" si="107"/>
        <v>0</v>
      </c>
    </row>
    <row r="188" spans="1:51" x14ac:dyDescent="0.2">
      <c r="A188" s="376">
        <v>14650</v>
      </c>
      <c r="B188" s="378" t="str">
        <f t="shared" si="60"/>
        <v>Lake Macquarie (C)</v>
      </c>
      <c r="C188" s="377" t="str">
        <f t="shared" si="61"/>
        <v>Hunter</v>
      </c>
      <c r="D188" s="503" t="str">
        <f t="shared" si="62"/>
        <v>E</v>
      </c>
      <c r="E188" s="503"/>
      <c r="F188"/>
      <c r="G188" s="379">
        <f t="shared" si="63"/>
        <v>205748</v>
      </c>
      <c r="H188" s="379">
        <f t="shared" si="64"/>
        <v>77737</v>
      </c>
      <c r="I188" s="379">
        <f t="shared" si="65"/>
        <v>419</v>
      </c>
      <c r="J188" s="379" t="str">
        <f t="shared" si="66"/>
        <v>Y</v>
      </c>
      <c r="K188" s="379">
        <f t="shared" si="67"/>
        <v>77089</v>
      </c>
      <c r="L188" s="379">
        <f t="shared" si="68"/>
        <v>0</v>
      </c>
      <c r="M188" s="379">
        <f t="shared" si="69"/>
        <v>75962</v>
      </c>
      <c r="N188" s="379">
        <f t="shared" si="70"/>
        <v>75962</v>
      </c>
      <c r="O188" s="379">
        <f t="shared" si="71"/>
        <v>0</v>
      </c>
      <c r="P188" s="379" t="str">
        <f t="shared" si="72"/>
        <v>Y</v>
      </c>
      <c r="Q188" s="379" t="str">
        <f t="shared" si="73"/>
        <v>Y</v>
      </c>
      <c r="R188" s="379" t="str">
        <f t="shared" si="74"/>
        <v>CRC - Toxfree Awaba</v>
      </c>
      <c r="S188" s="379" t="str">
        <f t="shared" si="75"/>
        <v>Mattresses Awaba</v>
      </c>
      <c r="T188" s="379" t="str">
        <f t="shared" si="76"/>
        <v>Green Waste drop off - Awaba</v>
      </c>
      <c r="U188" s="379" t="str">
        <f t="shared" si="77"/>
        <v>Public Place Sharps</v>
      </c>
      <c r="V188" s="379" t="str">
        <f t="shared" si="78"/>
        <v>Landfill - Awaba</v>
      </c>
      <c r="W188" s="379" t="str">
        <f t="shared" si="79"/>
        <v>E-waste/Metals/Other</v>
      </c>
      <c r="X188" s="379">
        <f t="shared" si="80"/>
        <v>0</v>
      </c>
      <c r="Y188" s="379">
        <f t="shared" si="81"/>
        <v>0</v>
      </c>
      <c r="Z188" s="379">
        <f t="shared" si="82"/>
        <v>0</v>
      </c>
      <c r="AA188" s="379">
        <f t="shared" si="83"/>
        <v>0</v>
      </c>
      <c r="AB188" s="379">
        <f t="shared" si="84"/>
        <v>0</v>
      </c>
      <c r="AC188" s="379">
        <f t="shared" si="85"/>
        <v>0</v>
      </c>
      <c r="AD188" s="379">
        <f t="shared" si="86"/>
        <v>0</v>
      </c>
      <c r="AE188" s="379">
        <f t="shared" si="87"/>
        <v>0</v>
      </c>
      <c r="AF188" s="379">
        <f t="shared" si="88"/>
        <v>0</v>
      </c>
      <c r="AG188" s="379">
        <f t="shared" si="89"/>
        <v>0</v>
      </c>
      <c r="AH188" s="379">
        <f t="shared" si="90"/>
        <v>0</v>
      </c>
      <c r="AI188" s="379">
        <f t="shared" si="91"/>
        <v>0</v>
      </c>
      <c r="AJ188" s="379">
        <f t="shared" si="92"/>
        <v>0</v>
      </c>
      <c r="AK188" s="379">
        <f t="shared" si="93"/>
        <v>0</v>
      </c>
      <c r="AL188" s="379">
        <f t="shared" si="94"/>
        <v>0</v>
      </c>
      <c r="AM188" s="379">
        <f t="shared" si="95"/>
        <v>0</v>
      </c>
      <c r="AN188" s="490">
        <f t="shared" si="96"/>
        <v>0</v>
      </c>
      <c r="AO188" s="379">
        <f t="shared" si="97"/>
        <v>0</v>
      </c>
      <c r="AP188" s="379">
        <f t="shared" si="98"/>
        <v>0</v>
      </c>
      <c r="AQ188" s="379">
        <f t="shared" si="99"/>
        <v>0</v>
      </c>
      <c r="AR188" s="379">
        <f t="shared" si="100"/>
        <v>0</v>
      </c>
      <c r="AS188" s="379">
        <f t="shared" si="101"/>
        <v>0</v>
      </c>
      <c r="AT188" s="379">
        <f t="shared" si="102"/>
        <v>0</v>
      </c>
      <c r="AU188" s="379">
        <f t="shared" si="103"/>
        <v>0</v>
      </c>
      <c r="AV188" s="379">
        <f t="shared" si="104"/>
        <v>0</v>
      </c>
      <c r="AW188" s="379">
        <f t="shared" si="105"/>
        <v>0</v>
      </c>
      <c r="AX188" s="379">
        <f t="shared" si="106"/>
        <v>0</v>
      </c>
      <c r="AY188" s="379">
        <f t="shared" si="107"/>
        <v>0</v>
      </c>
    </row>
    <row r="189" spans="1:51" x14ac:dyDescent="0.2">
      <c r="A189" s="376">
        <v>15050</v>
      </c>
      <c r="B189" s="378" t="str">
        <f t="shared" si="60"/>
        <v>Maitland (C)</v>
      </c>
      <c r="C189" s="377" t="str">
        <f t="shared" si="61"/>
        <v>Hunter</v>
      </c>
      <c r="D189" s="503" t="str">
        <f t="shared" si="62"/>
        <v>E</v>
      </c>
      <c r="E189" s="503"/>
      <c r="F189"/>
      <c r="G189" s="379">
        <f t="shared" si="63"/>
        <v>78096</v>
      </c>
      <c r="H189" s="379">
        <f t="shared" si="64"/>
        <v>29070</v>
      </c>
      <c r="I189" s="379">
        <f t="shared" si="65"/>
        <v>461.75</v>
      </c>
      <c r="J189" s="379" t="str">
        <f t="shared" si="66"/>
        <v>Y</v>
      </c>
      <c r="K189" s="379">
        <f t="shared" si="67"/>
        <v>29070</v>
      </c>
      <c r="L189" s="379">
        <f t="shared" si="68"/>
        <v>0</v>
      </c>
      <c r="M189" s="379">
        <f t="shared" si="69"/>
        <v>30658</v>
      </c>
      <c r="N189" s="379">
        <f t="shared" si="70"/>
        <v>30333</v>
      </c>
      <c r="O189" s="379">
        <f t="shared" si="71"/>
        <v>0</v>
      </c>
      <c r="P189" s="379">
        <f t="shared" si="72"/>
        <v>0</v>
      </c>
      <c r="Q189" s="379" t="str">
        <f t="shared" si="73"/>
        <v>Y</v>
      </c>
      <c r="R189" s="379" t="str">
        <f t="shared" si="74"/>
        <v>Mt Vincent Rd Waste Management Centre</v>
      </c>
      <c r="S189" s="379">
        <f t="shared" si="75"/>
        <v>0</v>
      </c>
      <c r="T189" s="379">
        <f t="shared" si="76"/>
        <v>0</v>
      </c>
      <c r="U189" s="379">
        <f t="shared" si="77"/>
        <v>0</v>
      </c>
      <c r="V189" s="379">
        <f t="shared" si="78"/>
        <v>0</v>
      </c>
      <c r="W189" s="379">
        <f t="shared" si="79"/>
        <v>0</v>
      </c>
      <c r="X189" s="379">
        <f t="shared" si="80"/>
        <v>0</v>
      </c>
      <c r="Y189" s="379">
        <f t="shared" si="81"/>
        <v>0</v>
      </c>
      <c r="Z189" s="379">
        <f t="shared" si="82"/>
        <v>0</v>
      </c>
      <c r="AA189" s="379">
        <f t="shared" si="83"/>
        <v>0</v>
      </c>
      <c r="AB189" s="379">
        <f t="shared" si="84"/>
        <v>0</v>
      </c>
      <c r="AC189" s="379">
        <f t="shared" si="85"/>
        <v>0</v>
      </c>
      <c r="AD189" s="379">
        <f t="shared" si="86"/>
        <v>0</v>
      </c>
      <c r="AE189" s="379">
        <f t="shared" si="87"/>
        <v>0</v>
      </c>
      <c r="AF189" s="379">
        <f t="shared" si="88"/>
        <v>0</v>
      </c>
      <c r="AG189" s="379">
        <f t="shared" si="89"/>
        <v>0</v>
      </c>
      <c r="AH189" s="379">
        <f t="shared" si="90"/>
        <v>0</v>
      </c>
      <c r="AI189" s="379">
        <f t="shared" si="91"/>
        <v>0</v>
      </c>
      <c r="AJ189" s="379">
        <f t="shared" si="92"/>
        <v>0</v>
      </c>
      <c r="AK189" s="379">
        <f t="shared" si="93"/>
        <v>0</v>
      </c>
      <c r="AL189" s="379">
        <f t="shared" si="94"/>
        <v>0</v>
      </c>
      <c r="AM189" s="379">
        <f t="shared" si="95"/>
        <v>0</v>
      </c>
      <c r="AN189" s="490">
        <f t="shared" si="96"/>
        <v>0</v>
      </c>
      <c r="AO189" s="379">
        <f t="shared" si="97"/>
        <v>0</v>
      </c>
      <c r="AP189" s="379">
        <f t="shared" si="98"/>
        <v>0</v>
      </c>
      <c r="AQ189" s="379">
        <f t="shared" si="99"/>
        <v>0</v>
      </c>
      <c r="AR189" s="379">
        <f t="shared" si="100"/>
        <v>0</v>
      </c>
      <c r="AS189" s="379">
        <f t="shared" si="101"/>
        <v>0</v>
      </c>
      <c r="AT189" s="379">
        <f t="shared" si="102"/>
        <v>0</v>
      </c>
      <c r="AU189" s="379">
        <f t="shared" si="103"/>
        <v>0</v>
      </c>
      <c r="AV189" s="379">
        <f t="shared" si="104"/>
        <v>0</v>
      </c>
      <c r="AW189" s="379">
        <f t="shared" si="105"/>
        <v>0</v>
      </c>
      <c r="AX189" s="379">
        <f t="shared" si="106"/>
        <v>0</v>
      </c>
      <c r="AY189" s="379">
        <f t="shared" si="107"/>
        <v>0</v>
      </c>
    </row>
    <row r="190" spans="1:51" x14ac:dyDescent="0.2">
      <c r="A190" s="376">
        <v>15900</v>
      </c>
      <c r="B190" s="378" t="str">
        <f t="shared" si="60"/>
        <v>Newcastle (C)</v>
      </c>
      <c r="C190" s="377" t="str">
        <f t="shared" si="61"/>
        <v>Hunter</v>
      </c>
      <c r="D190" s="503" t="str">
        <f t="shared" si="62"/>
        <v>E</v>
      </c>
      <c r="E190" s="503"/>
      <c r="F190"/>
      <c r="G190" s="379">
        <f t="shared" si="63"/>
        <v>162766</v>
      </c>
      <c r="H190" s="379">
        <f t="shared" si="64"/>
        <v>63167</v>
      </c>
      <c r="I190" s="379">
        <f t="shared" si="65"/>
        <v>340.09</v>
      </c>
      <c r="J190" s="379" t="str">
        <f t="shared" si="66"/>
        <v>Y</v>
      </c>
      <c r="K190" s="379">
        <f t="shared" si="67"/>
        <v>63167</v>
      </c>
      <c r="L190" s="379">
        <f t="shared" si="68"/>
        <v>0</v>
      </c>
      <c r="M190" s="379">
        <f t="shared" si="69"/>
        <v>63167</v>
      </c>
      <c r="N190" s="379">
        <f t="shared" si="70"/>
        <v>63463</v>
      </c>
      <c r="O190" s="379">
        <f t="shared" si="71"/>
        <v>0</v>
      </c>
      <c r="P190" s="379" t="str">
        <f t="shared" si="72"/>
        <v>Y</v>
      </c>
      <c r="Q190" s="379" t="str">
        <f t="shared" si="73"/>
        <v>Y</v>
      </c>
      <c r="R190" s="379" t="str">
        <f t="shared" si="74"/>
        <v>Summerhill Waste Management Centre</v>
      </c>
      <c r="S190" s="379" t="str">
        <f t="shared" si="75"/>
        <v>Battery Brokers, Hamilton</v>
      </c>
      <c r="T190" s="379" t="str">
        <f t="shared" si="76"/>
        <v>Matilda's Service Station, Wallsend</v>
      </c>
      <c r="U190" s="379" t="str">
        <f t="shared" si="77"/>
        <v>Council Libraries and Customer Enquiry Centre</v>
      </c>
      <c r="V190" s="379">
        <f t="shared" si="78"/>
        <v>0</v>
      </c>
      <c r="W190" s="379">
        <f t="shared" si="79"/>
        <v>0</v>
      </c>
      <c r="X190" s="379">
        <f t="shared" si="80"/>
        <v>0</v>
      </c>
      <c r="Y190" s="379">
        <f t="shared" si="81"/>
        <v>0</v>
      </c>
      <c r="Z190" s="379">
        <f t="shared" si="82"/>
        <v>0</v>
      </c>
      <c r="AA190" s="379">
        <f t="shared" si="83"/>
        <v>0</v>
      </c>
      <c r="AB190" s="379">
        <f t="shared" si="84"/>
        <v>0</v>
      </c>
      <c r="AC190" s="379">
        <f t="shared" si="85"/>
        <v>0</v>
      </c>
      <c r="AD190" s="379">
        <f t="shared" si="86"/>
        <v>0</v>
      </c>
      <c r="AE190" s="379">
        <f t="shared" si="87"/>
        <v>0</v>
      </c>
      <c r="AF190" s="379">
        <f t="shared" si="88"/>
        <v>0</v>
      </c>
      <c r="AG190" s="379">
        <f t="shared" si="89"/>
        <v>0</v>
      </c>
      <c r="AH190" s="379">
        <f t="shared" si="90"/>
        <v>0</v>
      </c>
      <c r="AI190" s="379">
        <f t="shared" si="91"/>
        <v>0</v>
      </c>
      <c r="AJ190" s="379">
        <f t="shared" si="92"/>
        <v>0</v>
      </c>
      <c r="AK190" s="379">
        <f t="shared" si="93"/>
        <v>0</v>
      </c>
      <c r="AL190" s="379">
        <f t="shared" si="94"/>
        <v>0</v>
      </c>
      <c r="AM190" s="379">
        <f t="shared" si="95"/>
        <v>0</v>
      </c>
      <c r="AN190" s="490">
        <f t="shared" si="96"/>
        <v>0</v>
      </c>
      <c r="AO190" s="379">
        <f t="shared" si="97"/>
        <v>0</v>
      </c>
      <c r="AP190" s="379">
        <f t="shared" si="98"/>
        <v>0</v>
      </c>
      <c r="AQ190" s="379">
        <f t="shared" si="99"/>
        <v>0</v>
      </c>
      <c r="AR190" s="379">
        <f t="shared" si="100"/>
        <v>0</v>
      </c>
      <c r="AS190" s="379">
        <f t="shared" si="101"/>
        <v>0</v>
      </c>
      <c r="AT190" s="379">
        <f t="shared" si="102"/>
        <v>0</v>
      </c>
      <c r="AU190" s="379">
        <f t="shared" si="103"/>
        <v>0</v>
      </c>
      <c r="AV190" s="379">
        <f t="shared" si="104"/>
        <v>0</v>
      </c>
      <c r="AW190" s="379">
        <f t="shared" si="105"/>
        <v>0</v>
      </c>
      <c r="AX190" s="379">
        <f t="shared" si="106"/>
        <v>0</v>
      </c>
      <c r="AY190" s="379">
        <f t="shared" si="107"/>
        <v>0</v>
      </c>
    </row>
    <row r="191" spans="1:51" x14ac:dyDescent="0.2">
      <c r="A191" s="376">
        <v>16400</v>
      </c>
      <c r="B191" s="378" t="str">
        <f t="shared" si="60"/>
        <v>Port Stephens (A)</v>
      </c>
      <c r="C191" s="377" t="str">
        <f t="shared" si="61"/>
        <v>Hunter</v>
      </c>
      <c r="D191" s="503" t="str">
        <f t="shared" si="62"/>
        <v>E</v>
      </c>
      <c r="E191" s="503"/>
      <c r="F191"/>
      <c r="G191" s="379">
        <f t="shared" si="63"/>
        <v>71406</v>
      </c>
      <c r="H191" s="379">
        <f t="shared" si="64"/>
        <v>31649</v>
      </c>
      <c r="I191" s="379">
        <f t="shared" si="65"/>
        <v>401</v>
      </c>
      <c r="J191" s="379" t="str">
        <f t="shared" si="66"/>
        <v>Y</v>
      </c>
      <c r="K191" s="379">
        <f t="shared" si="67"/>
        <v>33798</v>
      </c>
      <c r="L191" s="379" t="str">
        <f t="shared" si="68"/>
        <v>Y</v>
      </c>
      <c r="M191" s="379">
        <f t="shared" si="69"/>
        <v>33792</v>
      </c>
      <c r="N191" s="379">
        <f t="shared" si="70"/>
        <v>0</v>
      </c>
      <c r="O191" s="379">
        <f t="shared" si="71"/>
        <v>0</v>
      </c>
      <c r="P191" s="379" t="str">
        <f t="shared" si="72"/>
        <v>Y</v>
      </c>
      <c r="Q191" s="379" t="str">
        <f t="shared" si="73"/>
        <v>Y</v>
      </c>
      <c r="R191" s="379" t="str">
        <f t="shared" si="74"/>
        <v>Salamander Bay Waste Transfer Station</v>
      </c>
      <c r="S191" s="379">
        <f t="shared" si="75"/>
        <v>0</v>
      </c>
      <c r="T191" s="379">
        <f t="shared" si="76"/>
        <v>0</v>
      </c>
      <c r="U191" s="379">
        <f t="shared" si="77"/>
        <v>0</v>
      </c>
      <c r="V191" s="379">
        <f t="shared" si="78"/>
        <v>0</v>
      </c>
      <c r="W191" s="379">
        <f t="shared" si="79"/>
        <v>0</v>
      </c>
      <c r="X191" s="379">
        <f t="shared" si="80"/>
        <v>0</v>
      </c>
      <c r="Y191" s="379">
        <f t="shared" si="81"/>
        <v>0</v>
      </c>
      <c r="Z191" s="379">
        <f t="shared" si="82"/>
        <v>0</v>
      </c>
      <c r="AA191" s="379">
        <f t="shared" si="83"/>
        <v>0</v>
      </c>
      <c r="AB191" s="379">
        <f t="shared" si="84"/>
        <v>0</v>
      </c>
      <c r="AC191" s="379">
        <f t="shared" si="85"/>
        <v>0</v>
      </c>
      <c r="AD191" s="379">
        <f t="shared" si="86"/>
        <v>0</v>
      </c>
      <c r="AE191" s="379">
        <f t="shared" si="87"/>
        <v>0</v>
      </c>
      <c r="AF191" s="379">
        <f t="shared" si="88"/>
        <v>0</v>
      </c>
      <c r="AG191" s="379">
        <f t="shared" si="89"/>
        <v>0</v>
      </c>
      <c r="AH191" s="379">
        <f t="shared" si="90"/>
        <v>0</v>
      </c>
      <c r="AI191" s="379">
        <f t="shared" si="91"/>
        <v>0</v>
      </c>
      <c r="AJ191" s="379">
        <f t="shared" si="92"/>
        <v>0</v>
      </c>
      <c r="AK191" s="379">
        <f t="shared" si="93"/>
        <v>0</v>
      </c>
      <c r="AL191" s="379">
        <f t="shared" si="94"/>
        <v>0</v>
      </c>
      <c r="AM191" s="379">
        <f t="shared" si="95"/>
        <v>0</v>
      </c>
      <c r="AN191" s="490">
        <f t="shared" si="96"/>
        <v>0</v>
      </c>
      <c r="AO191" s="379">
        <f t="shared" si="97"/>
        <v>0</v>
      </c>
      <c r="AP191" s="379">
        <f t="shared" si="98"/>
        <v>0</v>
      </c>
      <c r="AQ191" s="379">
        <f t="shared" si="99"/>
        <v>0</v>
      </c>
      <c r="AR191" s="379">
        <f t="shared" si="100"/>
        <v>0</v>
      </c>
      <c r="AS191" s="379">
        <f t="shared" si="101"/>
        <v>0</v>
      </c>
      <c r="AT191" s="379">
        <f t="shared" si="102"/>
        <v>0</v>
      </c>
      <c r="AU191" s="379">
        <f t="shared" si="103"/>
        <v>0</v>
      </c>
      <c r="AV191" s="379">
        <f t="shared" si="104"/>
        <v>0</v>
      </c>
      <c r="AW191" s="379">
        <f t="shared" si="105"/>
        <v>0</v>
      </c>
      <c r="AX191" s="379">
        <f t="shared" si="106"/>
        <v>0</v>
      </c>
      <c r="AY191" s="379">
        <f t="shared" si="107"/>
        <v>0</v>
      </c>
    </row>
    <row r="192" spans="1:51" x14ac:dyDescent="0.2">
      <c r="A192" s="376">
        <v>16900</v>
      </c>
      <c r="B192" s="378" t="str">
        <f t="shared" si="60"/>
        <v>Shellharbour (C)</v>
      </c>
      <c r="C192" s="377" t="str">
        <f t="shared" si="61"/>
        <v>ISJO</v>
      </c>
      <c r="D192" s="503" t="str">
        <f t="shared" si="62"/>
        <v>E</v>
      </c>
      <c r="E192" s="503"/>
      <c r="F192"/>
      <c r="G192" s="379">
        <f t="shared" si="63"/>
        <v>70734</v>
      </c>
      <c r="H192" s="379">
        <f t="shared" si="64"/>
        <v>26863</v>
      </c>
      <c r="I192" s="379">
        <f t="shared" si="65"/>
        <v>535</v>
      </c>
      <c r="J192" s="379" t="str">
        <f t="shared" si="66"/>
        <v>Y</v>
      </c>
      <c r="K192" s="379">
        <f t="shared" si="67"/>
        <v>25887</v>
      </c>
      <c r="L192" s="379">
        <f t="shared" si="68"/>
        <v>0</v>
      </c>
      <c r="M192" s="379">
        <f t="shared" si="69"/>
        <v>25826</v>
      </c>
      <c r="N192" s="379">
        <f t="shared" si="70"/>
        <v>0</v>
      </c>
      <c r="O192" s="379">
        <f t="shared" si="71"/>
        <v>24327</v>
      </c>
      <c r="P192" s="379" t="str">
        <f t="shared" si="72"/>
        <v>Y</v>
      </c>
      <c r="Q192" s="379" t="str">
        <f t="shared" si="73"/>
        <v>Y</v>
      </c>
      <c r="R192" s="379" t="str">
        <f t="shared" si="74"/>
        <v>Dunmore Recycling &amp; Waste Disposal Depot</v>
      </c>
      <c r="S192" s="379">
        <f t="shared" si="75"/>
        <v>0</v>
      </c>
      <c r="T192" s="379">
        <f t="shared" si="76"/>
        <v>0</v>
      </c>
      <c r="U192" s="379">
        <f t="shared" si="77"/>
        <v>0</v>
      </c>
      <c r="V192" s="379">
        <f t="shared" si="78"/>
        <v>0</v>
      </c>
      <c r="W192" s="379">
        <f t="shared" si="79"/>
        <v>0</v>
      </c>
      <c r="X192" s="379">
        <f t="shared" si="80"/>
        <v>0</v>
      </c>
      <c r="Y192" s="379">
        <f t="shared" si="81"/>
        <v>0</v>
      </c>
      <c r="Z192" s="379">
        <f t="shared" si="82"/>
        <v>0</v>
      </c>
      <c r="AA192" s="379">
        <f t="shared" si="83"/>
        <v>0</v>
      </c>
      <c r="AB192" s="379">
        <f t="shared" si="84"/>
        <v>0</v>
      </c>
      <c r="AC192" s="379">
        <f t="shared" si="85"/>
        <v>0</v>
      </c>
      <c r="AD192" s="379">
        <f t="shared" si="86"/>
        <v>0</v>
      </c>
      <c r="AE192" s="379">
        <f t="shared" si="87"/>
        <v>0</v>
      </c>
      <c r="AF192" s="379">
        <f t="shared" si="88"/>
        <v>0</v>
      </c>
      <c r="AG192" s="379">
        <f t="shared" si="89"/>
        <v>0</v>
      </c>
      <c r="AH192" s="379">
        <f t="shared" si="90"/>
        <v>0</v>
      </c>
      <c r="AI192" s="379">
        <f t="shared" si="91"/>
        <v>0</v>
      </c>
      <c r="AJ192" s="379">
        <f t="shared" si="92"/>
        <v>0</v>
      </c>
      <c r="AK192" s="379">
        <f t="shared" si="93"/>
        <v>0</v>
      </c>
      <c r="AL192" s="379">
        <f t="shared" si="94"/>
        <v>0</v>
      </c>
      <c r="AM192" s="379">
        <f t="shared" si="95"/>
        <v>0</v>
      </c>
      <c r="AN192" s="490">
        <f t="shared" si="96"/>
        <v>0</v>
      </c>
      <c r="AO192" s="379">
        <f t="shared" si="97"/>
        <v>0</v>
      </c>
      <c r="AP192" s="379">
        <f t="shared" si="98"/>
        <v>0</v>
      </c>
      <c r="AQ192" s="379">
        <f t="shared" si="99"/>
        <v>0</v>
      </c>
      <c r="AR192" s="379">
        <f t="shared" si="100"/>
        <v>0</v>
      </c>
      <c r="AS192" s="379">
        <f t="shared" si="101"/>
        <v>0</v>
      </c>
      <c r="AT192" s="379">
        <f t="shared" si="102"/>
        <v>0</v>
      </c>
      <c r="AU192" s="379">
        <f t="shared" si="103"/>
        <v>0</v>
      </c>
      <c r="AV192" s="379">
        <f t="shared" si="104"/>
        <v>0</v>
      </c>
      <c r="AW192" s="379">
        <f t="shared" si="105"/>
        <v>0</v>
      </c>
      <c r="AX192" s="379">
        <f t="shared" si="106"/>
        <v>0</v>
      </c>
      <c r="AY192" s="379">
        <f t="shared" si="107"/>
        <v>0</v>
      </c>
    </row>
    <row r="193" spans="1:51" x14ac:dyDescent="0.2">
      <c r="A193" s="376">
        <v>16950</v>
      </c>
      <c r="B193" s="378" t="str">
        <f t="shared" si="60"/>
        <v>Shoalhaven (C)</v>
      </c>
      <c r="C193" s="377" t="str">
        <f t="shared" si="61"/>
        <v>ISJO</v>
      </c>
      <c r="D193" s="503" t="str">
        <f t="shared" si="62"/>
        <v>E</v>
      </c>
      <c r="E193" s="503"/>
      <c r="F193"/>
      <c r="G193" s="379">
        <f t="shared" si="63"/>
        <v>101462</v>
      </c>
      <c r="H193" s="379">
        <f t="shared" si="64"/>
        <v>54514</v>
      </c>
      <c r="I193" s="379">
        <f t="shared" si="65"/>
        <v>315</v>
      </c>
      <c r="J193" s="379" t="str">
        <f t="shared" si="66"/>
        <v>Y</v>
      </c>
      <c r="K193" s="379">
        <f t="shared" si="67"/>
        <v>50966</v>
      </c>
      <c r="L193" s="379">
        <f t="shared" si="68"/>
        <v>0</v>
      </c>
      <c r="M193" s="379">
        <f t="shared" si="69"/>
        <v>51223</v>
      </c>
      <c r="N193" s="379">
        <f t="shared" si="70"/>
        <v>0</v>
      </c>
      <c r="O193" s="379">
        <f t="shared" si="71"/>
        <v>0</v>
      </c>
      <c r="P193" s="379" t="str">
        <f t="shared" si="72"/>
        <v>Y</v>
      </c>
      <c r="Q193" s="379" t="str">
        <f t="shared" si="73"/>
        <v>Y</v>
      </c>
      <c r="R193" s="379" t="str">
        <f t="shared" si="74"/>
        <v>West Nowra Recycling ans Waste Facility</v>
      </c>
      <c r="S193" s="379" t="str">
        <f t="shared" si="75"/>
        <v>Ulladulla recycling and Waste Transfer Facility</v>
      </c>
      <c r="T193" s="379" t="str">
        <f t="shared" si="76"/>
        <v>Huskisson Recycling and Waste Transfer Facility</v>
      </c>
      <c r="U193" s="379" t="str">
        <f t="shared" si="77"/>
        <v>Berry Recycling and Waste transfer Facility</v>
      </c>
      <c r="V193" s="379" t="str">
        <f t="shared" si="78"/>
        <v>Callala Recycling and Waste transfer Facility</v>
      </c>
      <c r="W193" s="379" t="str">
        <f t="shared" si="79"/>
        <v>Sussex Inlet Recycling and Waste Transfer Facility</v>
      </c>
      <c r="X193" s="379">
        <f t="shared" si="80"/>
        <v>0</v>
      </c>
      <c r="Y193" s="379">
        <f t="shared" si="81"/>
        <v>0</v>
      </c>
      <c r="Z193" s="379">
        <f t="shared" si="82"/>
        <v>0</v>
      </c>
      <c r="AA193" s="379">
        <f t="shared" si="83"/>
        <v>0</v>
      </c>
      <c r="AB193" s="379">
        <f t="shared" si="84"/>
        <v>0</v>
      </c>
      <c r="AC193" s="379">
        <f t="shared" si="85"/>
        <v>0</v>
      </c>
      <c r="AD193" s="379">
        <f t="shared" si="86"/>
        <v>0</v>
      </c>
      <c r="AE193" s="379">
        <f t="shared" si="87"/>
        <v>0</v>
      </c>
      <c r="AF193" s="379">
        <f t="shared" si="88"/>
        <v>0</v>
      </c>
      <c r="AG193" s="379">
        <f t="shared" si="89"/>
        <v>0</v>
      </c>
      <c r="AH193" s="379">
        <f t="shared" si="90"/>
        <v>0</v>
      </c>
      <c r="AI193" s="379">
        <f t="shared" si="91"/>
        <v>0</v>
      </c>
      <c r="AJ193" s="379">
        <f t="shared" si="92"/>
        <v>0</v>
      </c>
      <c r="AK193" s="379">
        <f t="shared" si="93"/>
        <v>0</v>
      </c>
      <c r="AL193" s="379">
        <f t="shared" si="94"/>
        <v>0</v>
      </c>
      <c r="AM193" s="379">
        <f t="shared" si="95"/>
        <v>0</v>
      </c>
      <c r="AN193" s="490">
        <f t="shared" si="96"/>
        <v>0</v>
      </c>
      <c r="AO193" s="379">
        <f t="shared" si="97"/>
        <v>0</v>
      </c>
      <c r="AP193" s="379">
        <f t="shared" si="98"/>
        <v>0</v>
      </c>
      <c r="AQ193" s="379">
        <f t="shared" si="99"/>
        <v>0</v>
      </c>
      <c r="AR193" s="379">
        <f t="shared" si="100"/>
        <v>0</v>
      </c>
      <c r="AS193" s="379">
        <f t="shared" si="101"/>
        <v>0</v>
      </c>
      <c r="AT193" s="379">
        <f t="shared" si="102"/>
        <v>0</v>
      </c>
      <c r="AU193" s="379">
        <f t="shared" si="103"/>
        <v>0</v>
      </c>
      <c r="AV193" s="379">
        <f t="shared" si="104"/>
        <v>0</v>
      </c>
      <c r="AW193" s="379">
        <f t="shared" si="105"/>
        <v>0</v>
      </c>
      <c r="AX193" s="379">
        <f t="shared" si="106"/>
        <v>0</v>
      </c>
      <c r="AY193" s="379">
        <f t="shared" si="107"/>
        <v>0</v>
      </c>
    </row>
    <row r="194" spans="1:51" x14ac:dyDescent="0.2">
      <c r="A194" s="376">
        <v>18350</v>
      </c>
      <c r="B194" s="378" t="str">
        <f t="shared" si="60"/>
        <v>Wingecarribee (A)</v>
      </c>
      <c r="C194" s="377" t="str">
        <f t="shared" si="61"/>
        <v>ISJO</v>
      </c>
      <c r="D194" s="503" t="str">
        <f t="shared" si="62"/>
        <v>E</v>
      </c>
      <c r="E194" s="503"/>
      <c r="F194"/>
      <c r="G194" s="379">
        <f t="shared" si="63"/>
        <v>48845</v>
      </c>
      <c r="H194" s="379">
        <f t="shared" si="64"/>
        <v>18416</v>
      </c>
      <c r="I194" s="379">
        <f t="shared" si="65"/>
        <v>412</v>
      </c>
      <c r="J194" s="379" t="str">
        <f t="shared" si="66"/>
        <v>Y</v>
      </c>
      <c r="K194" s="379">
        <f t="shared" si="67"/>
        <v>18964</v>
      </c>
      <c r="L194" s="379">
        <f t="shared" si="68"/>
        <v>0</v>
      </c>
      <c r="M194" s="379">
        <f t="shared" si="69"/>
        <v>18943</v>
      </c>
      <c r="N194" s="379">
        <f t="shared" si="70"/>
        <v>17745</v>
      </c>
      <c r="O194" s="379">
        <f t="shared" si="71"/>
        <v>0</v>
      </c>
      <c r="P194" s="379" t="str">
        <f t="shared" si="72"/>
        <v>Y</v>
      </c>
      <c r="Q194" s="379" t="str">
        <f t="shared" si="73"/>
        <v>Y</v>
      </c>
      <c r="R194" s="379" t="str">
        <f t="shared" si="74"/>
        <v>Resource Recovery Centre</v>
      </c>
      <c r="S194" s="379">
        <f t="shared" si="75"/>
        <v>0</v>
      </c>
      <c r="T194" s="379">
        <f t="shared" si="76"/>
        <v>0</v>
      </c>
      <c r="U194" s="379">
        <f t="shared" si="77"/>
        <v>0</v>
      </c>
      <c r="V194" s="379">
        <f t="shared" si="78"/>
        <v>0</v>
      </c>
      <c r="W194" s="379">
        <f t="shared" si="79"/>
        <v>0</v>
      </c>
      <c r="X194" s="379">
        <f t="shared" si="80"/>
        <v>0</v>
      </c>
      <c r="Y194" s="379">
        <f t="shared" si="81"/>
        <v>0</v>
      </c>
      <c r="Z194" s="379">
        <f t="shared" si="82"/>
        <v>0</v>
      </c>
      <c r="AA194" s="379">
        <f t="shared" si="83"/>
        <v>0</v>
      </c>
      <c r="AB194" s="379">
        <f t="shared" si="84"/>
        <v>0</v>
      </c>
      <c r="AC194" s="379">
        <f t="shared" si="85"/>
        <v>0</v>
      </c>
      <c r="AD194" s="379">
        <f t="shared" si="86"/>
        <v>0</v>
      </c>
      <c r="AE194" s="379">
        <f t="shared" si="87"/>
        <v>0</v>
      </c>
      <c r="AF194" s="379">
        <f t="shared" si="88"/>
        <v>0</v>
      </c>
      <c r="AG194" s="379">
        <f t="shared" si="89"/>
        <v>0</v>
      </c>
      <c r="AH194" s="379">
        <f t="shared" si="90"/>
        <v>0</v>
      </c>
      <c r="AI194" s="379">
        <f t="shared" si="91"/>
        <v>0</v>
      </c>
      <c r="AJ194" s="379">
        <f t="shared" si="92"/>
        <v>0</v>
      </c>
      <c r="AK194" s="379">
        <f t="shared" si="93"/>
        <v>0</v>
      </c>
      <c r="AL194" s="379">
        <f t="shared" si="94"/>
        <v>0</v>
      </c>
      <c r="AM194" s="379">
        <f t="shared" si="95"/>
        <v>0</v>
      </c>
      <c r="AN194" s="490">
        <f t="shared" si="96"/>
        <v>0</v>
      </c>
      <c r="AO194" s="379">
        <f t="shared" si="97"/>
        <v>0</v>
      </c>
      <c r="AP194" s="379">
        <f t="shared" si="98"/>
        <v>0</v>
      </c>
      <c r="AQ194" s="379">
        <f t="shared" si="99"/>
        <v>0</v>
      </c>
      <c r="AR194" s="379">
        <f t="shared" si="100"/>
        <v>0</v>
      </c>
      <c r="AS194" s="379">
        <f t="shared" si="101"/>
        <v>0</v>
      </c>
      <c r="AT194" s="379">
        <f t="shared" si="102"/>
        <v>0</v>
      </c>
      <c r="AU194" s="379">
        <f t="shared" si="103"/>
        <v>0</v>
      </c>
      <c r="AV194" s="379">
        <f t="shared" si="104"/>
        <v>0</v>
      </c>
      <c r="AW194" s="379">
        <f t="shared" si="105"/>
        <v>0</v>
      </c>
      <c r="AX194" s="379">
        <f t="shared" si="106"/>
        <v>0</v>
      </c>
      <c r="AY194" s="379">
        <f t="shared" si="107"/>
        <v>0</v>
      </c>
    </row>
    <row r="195" spans="1:51" ht="13.5" thickBot="1" x14ac:dyDescent="0.25">
      <c r="A195" s="376">
        <v>18450</v>
      </c>
      <c r="B195" s="378" t="str">
        <f t="shared" si="60"/>
        <v>Wollongong (C)</v>
      </c>
      <c r="C195" s="377" t="str">
        <f t="shared" si="61"/>
        <v>ISJO</v>
      </c>
      <c r="D195" s="503" t="str">
        <f t="shared" si="62"/>
        <v>E</v>
      </c>
      <c r="E195" s="503"/>
      <c r="F195"/>
      <c r="G195" s="379">
        <f t="shared" si="63"/>
        <v>211213</v>
      </c>
      <c r="H195" s="379">
        <f t="shared" si="64"/>
        <v>82433</v>
      </c>
      <c r="I195" s="379">
        <f t="shared" si="65"/>
        <v>399</v>
      </c>
      <c r="J195" s="379" t="str">
        <f t="shared" si="66"/>
        <v>Y</v>
      </c>
      <c r="K195" s="379">
        <f t="shared" si="67"/>
        <v>82035</v>
      </c>
      <c r="L195" s="379">
        <f t="shared" si="68"/>
        <v>0</v>
      </c>
      <c r="M195" s="379">
        <f t="shared" si="69"/>
        <v>82035</v>
      </c>
      <c r="N195" s="379">
        <f t="shared" si="70"/>
        <v>82035</v>
      </c>
      <c r="O195" s="379">
        <f t="shared" si="71"/>
        <v>0</v>
      </c>
      <c r="P195" s="379" t="str">
        <f t="shared" si="72"/>
        <v>Y</v>
      </c>
      <c r="Q195" s="379" t="str">
        <f t="shared" si="73"/>
        <v>Y</v>
      </c>
      <c r="R195" s="379" t="str">
        <f t="shared" si="74"/>
        <v>Whytes Gully Community droppff</v>
      </c>
      <c r="S195" s="379">
        <f t="shared" si="75"/>
        <v>0</v>
      </c>
      <c r="T195" s="379">
        <f t="shared" si="76"/>
        <v>0</v>
      </c>
      <c r="U195" s="379">
        <f t="shared" si="77"/>
        <v>0</v>
      </c>
      <c r="V195" s="379">
        <f t="shared" si="78"/>
        <v>0</v>
      </c>
      <c r="W195" s="379">
        <f t="shared" si="79"/>
        <v>0</v>
      </c>
      <c r="X195" s="379">
        <f t="shared" si="80"/>
        <v>0</v>
      </c>
      <c r="Y195" s="379">
        <f t="shared" si="81"/>
        <v>0</v>
      </c>
      <c r="Z195" s="379">
        <f t="shared" si="82"/>
        <v>0</v>
      </c>
      <c r="AA195" s="379">
        <f t="shared" si="83"/>
        <v>0</v>
      </c>
      <c r="AB195" s="379">
        <f t="shared" si="84"/>
        <v>0</v>
      </c>
      <c r="AC195" s="379">
        <f t="shared" si="85"/>
        <v>0</v>
      </c>
      <c r="AD195" s="379">
        <f t="shared" si="86"/>
        <v>0</v>
      </c>
      <c r="AE195" s="379">
        <f t="shared" si="87"/>
        <v>0</v>
      </c>
      <c r="AF195" s="379">
        <f t="shared" si="88"/>
        <v>0</v>
      </c>
      <c r="AG195" s="379">
        <f t="shared" si="89"/>
        <v>0</v>
      </c>
      <c r="AH195" s="379">
        <f t="shared" si="90"/>
        <v>0</v>
      </c>
      <c r="AI195" s="379">
        <f t="shared" si="91"/>
        <v>0</v>
      </c>
      <c r="AJ195" s="379">
        <f t="shared" si="92"/>
        <v>0</v>
      </c>
      <c r="AK195" s="379">
        <f t="shared" si="93"/>
        <v>0</v>
      </c>
      <c r="AL195" s="379">
        <f t="shared" si="94"/>
        <v>0</v>
      </c>
      <c r="AM195" s="379">
        <f t="shared" si="95"/>
        <v>0</v>
      </c>
      <c r="AN195" s="490">
        <f t="shared" si="96"/>
        <v>0</v>
      </c>
      <c r="AO195" s="379">
        <f t="shared" si="97"/>
        <v>0</v>
      </c>
      <c r="AP195" s="379">
        <f t="shared" si="98"/>
        <v>0</v>
      </c>
      <c r="AQ195" s="379">
        <f t="shared" si="99"/>
        <v>0</v>
      </c>
      <c r="AR195" s="379">
        <f t="shared" si="100"/>
        <v>0</v>
      </c>
      <c r="AS195" s="379">
        <f t="shared" si="101"/>
        <v>0</v>
      </c>
      <c r="AT195" s="379">
        <f t="shared" si="102"/>
        <v>0</v>
      </c>
      <c r="AU195" s="379">
        <f t="shared" si="103"/>
        <v>0</v>
      </c>
      <c r="AV195" s="379">
        <f t="shared" si="104"/>
        <v>0</v>
      </c>
      <c r="AW195" s="379">
        <f t="shared" si="105"/>
        <v>0</v>
      </c>
      <c r="AX195" s="379">
        <f t="shared" si="106"/>
        <v>0</v>
      </c>
      <c r="AY195" s="379">
        <f t="shared" si="107"/>
        <v>0</v>
      </c>
    </row>
    <row r="196" spans="1:51" ht="13.5" thickTop="1" x14ac:dyDescent="0.2">
      <c r="A196" s="380"/>
      <c r="B196" s="380"/>
      <c r="C196" s="380" t="s">
        <v>264</v>
      </c>
      <c r="D196" s="380"/>
      <c r="E196" s="484"/>
      <c r="F196" s="381"/>
      <c r="G196" s="382">
        <f t="shared" ref="G196:AY196" si="108">COUNTIF(G184:G195,"&gt;0")</f>
        <v>12</v>
      </c>
      <c r="H196" s="382">
        <f t="shared" si="108"/>
        <v>12</v>
      </c>
      <c r="I196" s="382">
        <f t="shared" si="108"/>
        <v>12</v>
      </c>
      <c r="J196" s="382">
        <f t="shared" si="108"/>
        <v>0</v>
      </c>
      <c r="K196" s="382">
        <f t="shared" si="108"/>
        <v>12</v>
      </c>
      <c r="L196" s="382">
        <f t="shared" si="108"/>
        <v>0</v>
      </c>
      <c r="M196" s="382">
        <f t="shared" si="108"/>
        <v>12</v>
      </c>
      <c r="N196" s="382">
        <f t="shared" si="108"/>
        <v>8</v>
      </c>
      <c r="O196" s="382">
        <f t="shared" si="108"/>
        <v>2</v>
      </c>
      <c r="P196" s="382">
        <f t="shared" si="108"/>
        <v>0</v>
      </c>
      <c r="Q196" s="382">
        <f t="shared" si="108"/>
        <v>0</v>
      </c>
      <c r="R196" s="382">
        <f t="shared" si="108"/>
        <v>0</v>
      </c>
      <c r="S196" s="382">
        <f t="shared" si="108"/>
        <v>0</v>
      </c>
      <c r="T196" s="382">
        <f t="shared" si="108"/>
        <v>0</v>
      </c>
      <c r="U196" s="382">
        <f t="shared" si="108"/>
        <v>0</v>
      </c>
      <c r="V196" s="382">
        <f t="shared" si="108"/>
        <v>0</v>
      </c>
      <c r="W196" s="382">
        <f t="shared" si="108"/>
        <v>0</v>
      </c>
      <c r="X196" s="382">
        <f t="shared" si="108"/>
        <v>0</v>
      </c>
      <c r="Y196" s="382">
        <f t="shared" si="108"/>
        <v>0</v>
      </c>
      <c r="Z196" s="382">
        <f t="shared" si="108"/>
        <v>0</v>
      </c>
      <c r="AA196" s="382">
        <f t="shared" si="108"/>
        <v>0</v>
      </c>
      <c r="AB196" s="382">
        <f t="shared" si="108"/>
        <v>0</v>
      </c>
      <c r="AC196" s="382">
        <f t="shared" si="108"/>
        <v>0</v>
      </c>
      <c r="AD196" s="382">
        <f t="shared" si="108"/>
        <v>0</v>
      </c>
      <c r="AE196" s="382">
        <f t="shared" si="108"/>
        <v>0</v>
      </c>
      <c r="AF196" s="382">
        <f t="shared" si="108"/>
        <v>0</v>
      </c>
      <c r="AG196" s="382">
        <f t="shared" si="108"/>
        <v>0</v>
      </c>
      <c r="AH196" s="382">
        <f t="shared" si="108"/>
        <v>0</v>
      </c>
      <c r="AI196" s="382">
        <f t="shared" si="108"/>
        <v>0</v>
      </c>
      <c r="AJ196" s="382">
        <f t="shared" si="108"/>
        <v>0</v>
      </c>
      <c r="AK196" s="382">
        <f t="shared" si="108"/>
        <v>0</v>
      </c>
      <c r="AL196" s="382">
        <f t="shared" si="108"/>
        <v>0</v>
      </c>
      <c r="AM196" s="382">
        <f t="shared" si="108"/>
        <v>0</v>
      </c>
      <c r="AN196" s="485">
        <f t="shared" si="108"/>
        <v>0</v>
      </c>
      <c r="AO196" s="382">
        <f t="shared" si="108"/>
        <v>0</v>
      </c>
      <c r="AP196" s="382">
        <f t="shared" si="108"/>
        <v>0</v>
      </c>
      <c r="AQ196" s="382">
        <f t="shared" si="108"/>
        <v>0</v>
      </c>
      <c r="AR196" s="382">
        <f t="shared" si="108"/>
        <v>0</v>
      </c>
      <c r="AS196" s="382">
        <f t="shared" si="108"/>
        <v>0</v>
      </c>
      <c r="AT196" s="382">
        <f t="shared" si="108"/>
        <v>0</v>
      </c>
      <c r="AU196" s="382">
        <f t="shared" si="108"/>
        <v>0</v>
      </c>
      <c r="AV196" s="382">
        <f t="shared" si="108"/>
        <v>0</v>
      </c>
      <c r="AW196" s="382">
        <f t="shared" si="108"/>
        <v>0</v>
      </c>
      <c r="AX196" s="382">
        <f t="shared" si="108"/>
        <v>0</v>
      </c>
      <c r="AY196" s="382">
        <f t="shared" si="108"/>
        <v>0</v>
      </c>
    </row>
    <row r="197" spans="1:51" x14ac:dyDescent="0.2">
      <c r="A197" s="376"/>
      <c r="B197" s="383" t="s">
        <v>19</v>
      </c>
      <c r="C197" s="376" t="s">
        <v>265</v>
      </c>
      <c r="D197" s="376"/>
      <c r="E197" s="488"/>
      <c r="F197" s="384"/>
      <c r="G197" s="385">
        <f t="shared" ref="G197:AY197" si="109">SUM(G184:G195)</f>
        <v>1430112</v>
      </c>
      <c r="H197" s="385">
        <f t="shared" si="109"/>
        <v>572568</v>
      </c>
      <c r="I197" s="385">
        <f t="shared" si="109"/>
        <v>5313.65</v>
      </c>
      <c r="J197" s="385">
        <f t="shared" si="109"/>
        <v>0</v>
      </c>
      <c r="K197" s="385">
        <f t="shared" si="109"/>
        <v>565548</v>
      </c>
      <c r="L197" s="385">
        <f t="shared" si="109"/>
        <v>0</v>
      </c>
      <c r="M197" s="385">
        <f t="shared" si="109"/>
        <v>567003</v>
      </c>
      <c r="N197" s="385">
        <f t="shared" si="109"/>
        <v>427538</v>
      </c>
      <c r="O197" s="385">
        <f t="shared" si="109"/>
        <v>33201</v>
      </c>
      <c r="P197" s="385">
        <f t="shared" si="109"/>
        <v>0</v>
      </c>
      <c r="Q197" s="385">
        <f t="shared" si="109"/>
        <v>0</v>
      </c>
      <c r="R197" s="385">
        <f t="shared" si="109"/>
        <v>0</v>
      </c>
      <c r="S197" s="385">
        <f t="shared" si="109"/>
        <v>0</v>
      </c>
      <c r="T197" s="385">
        <f t="shared" si="109"/>
        <v>0</v>
      </c>
      <c r="U197" s="385">
        <f t="shared" si="109"/>
        <v>0</v>
      </c>
      <c r="V197" s="385">
        <f t="shared" si="109"/>
        <v>0</v>
      </c>
      <c r="W197" s="385">
        <f t="shared" si="109"/>
        <v>0</v>
      </c>
      <c r="X197" s="385">
        <f t="shared" si="109"/>
        <v>0</v>
      </c>
      <c r="Y197" s="385">
        <f t="shared" si="109"/>
        <v>0</v>
      </c>
      <c r="Z197" s="385">
        <f t="shared" si="109"/>
        <v>0</v>
      </c>
      <c r="AA197" s="385">
        <f t="shared" si="109"/>
        <v>0</v>
      </c>
      <c r="AB197" s="385">
        <f t="shared" si="109"/>
        <v>0</v>
      </c>
      <c r="AC197" s="385">
        <f t="shared" si="109"/>
        <v>0</v>
      </c>
      <c r="AD197" s="385">
        <f t="shared" si="109"/>
        <v>0</v>
      </c>
      <c r="AE197" s="385">
        <f t="shared" si="109"/>
        <v>0</v>
      </c>
      <c r="AF197" s="385">
        <f t="shared" si="109"/>
        <v>0</v>
      </c>
      <c r="AG197" s="385">
        <f t="shared" si="109"/>
        <v>0</v>
      </c>
      <c r="AH197" s="385">
        <f t="shared" si="109"/>
        <v>0</v>
      </c>
      <c r="AI197" s="385">
        <f t="shared" si="109"/>
        <v>0</v>
      </c>
      <c r="AJ197" s="385">
        <f t="shared" si="109"/>
        <v>0</v>
      </c>
      <c r="AK197" s="385">
        <f t="shared" si="109"/>
        <v>0</v>
      </c>
      <c r="AL197" s="385">
        <f t="shared" si="109"/>
        <v>0</v>
      </c>
      <c r="AM197" s="385">
        <f t="shared" si="109"/>
        <v>0</v>
      </c>
      <c r="AN197" s="489">
        <f t="shared" si="109"/>
        <v>0</v>
      </c>
      <c r="AO197" s="385">
        <f t="shared" si="109"/>
        <v>0</v>
      </c>
      <c r="AP197" s="385">
        <f t="shared" si="109"/>
        <v>0</v>
      </c>
      <c r="AQ197" s="385">
        <f t="shared" si="109"/>
        <v>0</v>
      </c>
      <c r="AR197" s="385">
        <f t="shared" si="109"/>
        <v>0</v>
      </c>
      <c r="AS197" s="385">
        <f t="shared" si="109"/>
        <v>0</v>
      </c>
      <c r="AT197" s="385">
        <f t="shared" si="109"/>
        <v>0</v>
      </c>
      <c r="AU197" s="385">
        <f t="shared" si="109"/>
        <v>0</v>
      </c>
      <c r="AV197" s="385">
        <f t="shared" si="109"/>
        <v>0</v>
      </c>
      <c r="AW197" s="385">
        <f t="shared" si="109"/>
        <v>0</v>
      </c>
      <c r="AX197" s="385">
        <f t="shared" si="109"/>
        <v>0</v>
      </c>
      <c r="AY197" s="385">
        <f t="shared" si="109"/>
        <v>0</v>
      </c>
    </row>
    <row r="198" spans="1:51" x14ac:dyDescent="0.2">
      <c r="A198" s="376"/>
      <c r="B198" s="383"/>
      <c r="C198" s="376" t="s">
        <v>266</v>
      </c>
      <c r="D198" s="376"/>
      <c r="E198" s="488"/>
      <c r="F198" s="384"/>
      <c r="G198" s="379">
        <f t="shared" ref="G198:AY198" si="110">MIN(G184:G195)</f>
        <v>21671</v>
      </c>
      <c r="H198" s="379">
        <f t="shared" si="110"/>
        <v>10000</v>
      </c>
      <c r="I198" s="379">
        <f t="shared" si="110"/>
        <v>315</v>
      </c>
      <c r="J198" s="379">
        <f t="shared" si="110"/>
        <v>0</v>
      </c>
      <c r="K198" s="379">
        <f t="shared" si="110"/>
        <v>8874</v>
      </c>
      <c r="L198" s="379">
        <f t="shared" si="110"/>
        <v>0</v>
      </c>
      <c r="M198" s="379">
        <f t="shared" si="110"/>
        <v>9377</v>
      </c>
      <c r="N198" s="379">
        <f t="shared" si="110"/>
        <v>0</v>
      </c>
      <c r="O198" s="379">
        <f t="shared" si="110"/>
        <v>0</v>
      </c>
      <c r="P198" s="379">
        <f t="shared" si="110"/>
        <v>0</v>
      </c>
      <c r="Q198" s="379">
        <f t="shared" si="110"/>
        <v>0</v>
      </c>
      <c r="R198" s="379">
        <f t="shared" si="110"/>
        <v>0</v>
      </c>
      <c r="S198" s="379">
        <f t="shared" si="110"/>
        <v>0</v>
      </c>
      <c r="T198" s="379">
        <f t="shared" si="110"/>
        <v>0</v>
      </c>
      <c r="U198" s="379">
        <f t="shared" si="110"/>
        <v>0</v>
      </c>
      <c r="V198" s="379">
        <f t="shared" si="110"/>
        <v>0</v>
      </c>
      <c r="W198" s="379">
        <f t="shared" si="110"/>
        <v>0</v>
      </c>
      <c r="X198" s="379">
        <f t="shared" si="110"/>
        <v>0</v>
      </c>
      <c r="Y198" s="379">
        <f t="shared" si="110"/>
        <v>0</v>
      </c>
      <c r="Z198" s="379">
        <f t="shared" si="110"/>
        <v>0</v>
      </c>
      <c r="AA198" s="379">
        <f t="shared" si="110"/>
        <v>0</v>
      </c>
      <c r="AB198" s="379">
        <f t="shared" si="110"/>
        <v>0</v>
      </c>
      <c r="AC198" s="379">
        <f t="shared" si="110"/>
        <v>0</v>
      </c>
      <c r="AD198" s="379">
        <f t="shared" si="110"/>
        <v>0</v>
      </c>
      <c r="AE198" s="379">
        <f t="shared" si="110"/>
        <v>0</v>
      </c>
      <c r="AF198" s="379">
        <f t="shared" si="110"/>
        <v>0</v>
      </c>
      <c r="AG198" s="379">
        <f t="shared" si="110"/>
        <v>0</v>
      </c>
      <c r="AH198" s="379">
        <f t="shared" si="110"/>
        <v>0</v>
      </c>
      <c r="AI198" s="379">
        <f t="shared" si="110"/>
        <v>0</v>
      </c>
      <c r="AJ198" s="379">
        <f t="shared" si="110"/>
        <v>0</v>
      </c>
      <c r="AK198" s="379">
        <f t="shared" si="110"/>
        <v>0</v>
      </c>
      <c r="AL198" s="379">
        <f t="shared" si="110"/>
        <v>0</v>
      </c>
      <c r="AM198" s="379">
        <f t="shared" si="110"/>
        <v>0</v>
      </c>
      <c r="AN198" s="490">
        <f t="shared" si="110"/>
        <v>0</v>
      </c>
      <c r="AO198" s="379">
        <f t="shared" si="110"/>
        <v>0</v>
      </c>
      <c r="AP198" s="379">
        <f t="shared" si="110"/>
        <v>0</v>
      </c>
      <c r="AQ198" s="379">
        <f t="shared" si="110"/>
        <v>0</v>
      </c>
      <c r="AR198" s="379">
        <f t="shared" si="110"/>
        <v>0</v>
      </c>
      <c r="AS198" s="379">
        <f t="shared" si="110"/>
        <v>0</v>
      </c>
      <c r="AT198" s="379">
        <f t="shared" si="110"/>
        <v>0</v>
      </c>
      <c r="AU198" s="379">
        <f t="shared" si="110"/>
        <v>0</v>
      </c>
      <c r="AV198" s="379">
        <f t="shared" si="110"/>
        <v>0</v>
      </c>
      <c r="AW198" s="379">
        <f t="shared" si="110"/>
        <v>0</v>
      </c>
      <c r="AX198" s="379">
        <f t="shared" si="110"/>
        <v>0</v>
      </c>
      <c r="AY198" s="379">
        <f t="shared" si="110"/>
        <v>0</v>
      </c>
    </row>
    <row r="199" spans="1:51" x14ac:dyDescent="0.2">
      <c r="A199" s="376"/>
      <c r="B199" s="383"/>
      <c r="C199" s="376" t="s">
        <v>267</v>
      </c>
      <c r="D199" s="376"/>
      <c r="E199" s="488"/>
      <c r="F199" s="384"/>
      <c r="G199" s="379">
        <f t="shared" ref="G199:AY199" si="111">MAX(G184:G195)</f>
        <v>334857</v>
      </c>
      <c r="H199" s="379">
        <f t="shared" si="111"/>
        <v>130469</v>
      </c>
      <c r="I199" s="379">
        <f t="shared" si="111"/>
        <v>540</v>
      </c>
      <c r="J199" s="379">
        <f t="shared" si="111"/>
        <v>0</v>
      </c>
      <c r="K199" s="379">
        <f t="shared" si="111"/>
        <v>131869</v>
      </c>
      <c r="L199" s="379">
        <f t="shared" si="111"/>
        <v>0</v>
      </c>
      <c r="M199" s="379">
        <f t="shared" si="111"/>
        <v>132191</v>
      </c>
      <c r="N199" s="379">
        <f t="shared" si="111"/>
        <v>123590</v>
      </c>
      <c r="O199" s="379">
        <f t="shared" si="111"/>
        <v>24327</v>
      </c>
      <c r="P199" s="379">
        <f t="shared" si="111"/>
        <v>0</v>
      </c>
      <c r="Q199" s="379">
        <f t="shared" si="111"/>
        <v>0</v>
      </c>
      <c r="R199" s="379">
        <f t="shared" si="111"/>
        <v>0</v>
      </c>
      <c r="S199" s="379">
        <f t="shared" si="111"/>
        <v>0</v>
      </c>
      <c r="T199" s="379">
        <f t="shared" si="111"/>
        <v>0</v>
      </c>
      <c r="U199" s="379">
        <f t="shared" si="111"/>
        <v>0</v>
      </c>
      <c r="V199" s="379">
        <f t="shared" si="111"/>
        <v>0</v>
      </c>
      <c r="W199" s="379">
        <f t="shared" si="111"/>
        <v>0</v>
      </c>
      <c r="X199" s="379">
        <f t="shared" si="111"/>
        <v>0</v>
      </c>
      <c r="Y199" s="379">
        <f t="shared" si="111"/>
        <v>0</v>
      </c>
      <c r="Z199" s="379">
        <f t="shared" si="111"/>
        <v>0</v>
      </c>
      <c r="AA199" s="379">
        <f t="shared" si="111"/>
        <v>0</v>
      </c>
      <c r="AB199" s="379">
        <f t="shared" si="111"/>
        <v>0</v>
      </c>
      <c r="AC199" s="379">
        <f t="shared" si="111"/>
        <v>0</v>
      </c>
      <c r="AD199" s="379">
        <f t="shared" si="111"/>
        <v>0</v>
      </c>
      <c r="AE199" s="379">
        <f t="shared" si="111"/>
        <v>0</v>
      </c>
      <c r="AF199" s="379">
        <f t="shared" si="111"/>
        <v>0</v>
      </c>
      <c r="AG199" s="379">
        <f t="shared" si="111"/>
        <v>0</v>
      </c>
      <c r="AH199" s="379">
        <f t="shared" si="111"/>
        <v>0</v>
      </c>
      <c r="AI199" s="379">
        <f t="shared" si="111"/>
        <v>0</v>
      </c>
      <c r="AJ199" s="379">
        <f t="shared" si="111"/>
        <v>0</v>
      </c>
      <c r="AK199" s="379">
        <f t="shared" si="111"/>
        <v>0</v>
      </c>
      <c r="AL199" s="379">
        <f t="shared" si="111"/>
        <v>0</v>
      </c>
      <c r="AM199" s="379">
        <f t="shared" si="111"/>
        <v>0</v>
      </c>
      <c r="AN199" s="490">
        <f t="shared" si="111"/>
        <v>0</v>
      </c>
      <c r="AO199" s="379">
        <f t="shared" si="111"/>
        <v>0</v>
      </c>
      <c r="AP199" s="379">
        <f t="shared" si="111"/>
        <v>0</v>
      </c>
      <c r="AQ199" s="379">
        <f t="shared" si="111"/>
        <v>0</v>
      </c>
      <c r="AR199" s="379">
        <f t="shared" si="111"/>
        <v>0</v>
      </c>
      <c r="AS199" s="379">
        <f t="shared" si="111"/>
        <v>0</v>
      </c>
      <c r="AT199" s="379">
        <f t="shared" si="111"/>
        <v>0</v>
      </c>
      <c r="AU199" s="379">
        <f t="shared" si="111"/>
        <v>0</v>
      </c>
      <c r="AV199" s="379">
        <f t="shared" si="111"/>
        <v>0</v>
      </c>
      <c r="AW199" s="379">
        <f t="shared" si="111"/>
        <v>0</v>
      </c>
      <c r="AX199" s="379">
        <f t="shared" si="111"/>
        <v>0</v>
      </c>
      <c r="AY199" s="379">
        <f t="shared" si="111"/>
        <v>0</v>
      </c>
    </row>
    <row r="200" spans="1:51" x14ac:dyDescent="0.2">
      <c r="A200" s="376"/>
      <c r="B200" s="383"/>
      <c r="C200" s="376" t="s">
        <v>268</v>
      </c>
      <c r="D200" s="376"/>
      <c r="E200" s="488"/>
      <c r="F200" s="384"/>
      <c r="G200" s="379">
        <f t="shared" ref="G200:AY200" si="112">AVERAGE(G184:G195)</f>
        <v>119176</v>
      </c>
      <c r="H200" s="379">
        <f t="shared" si="112"/>
        <v>47714</v>
      </c>
      <c r="I200" s="379">
        <f t="shared" si="112"/>
        <v>442.80416666666662</v>
      </c>
      <c r="J200" s="379" t="e">
        <f t="shared" si="112"/>
        <v>#DIV/0!</v>
      </c>
      <c r="K200" s="379">
        <f t="shared" si="112"/>
        <v>47129</v>
      </c>
      <c r="L200" s="379">
        <f t="shared" si="112"/>
        <v>0</v>
      </c>
      <c r="M200" s="379">
        <f t="shared" si="112"/>
        <v>47250.25</v>
      </c>
      <c r="N200" s="379">
        <f t="shared" si="112"/>
        <v>35628.166666666664</v>
      </c>
      <c r="O200" s="379">
        <f t="shared" si="112"/>
        <v>2766.75</v>
      </c>
      <c r="P200" s="379">
        <f t="shared" si="112"/>
        <v>0</v>
      </c>
      <c r="Q200" s="379" t="e">
        <f t="shared" si="112"/>
        <v>#DIV/0!</v>
      </c>
      <c r="R200" s="379" t="e">
        <f t="shared" si="112"/>
        <v>#DIV/0!</v>
      </c>
      <c r="S200" s="379">
        <f t="shared" si="112"/>
        <v>0</v>
      </c>
      <c r="T200" s="379">
        <f t="shared" si="112"/>
        <v>0</v>
      </c>
      <c r="U200" s="379">
        <f t="shared" si="112"/>
        <v>0</v>
      </c>
      <c r="V200" s="379">
        <f t="shared" si="112"/>
        <v>0</v>
      </c>
      <c r="W200" s="379">
        <f t="shared" si="112"/>
        <v>0</v>
      </c>
      <c r="X200" s="379">
        <f t="shared" si="112"/>
        <v>0</v>
      </c>
      <c r="Y200" s="379">
        <f t="shared" si="112"/>
        <v>0</v>
      </c>
      <c r="Z200" s="379">
        <f t="shared" si="112"/>
        <v>0</v>
      </c>
      <c r="AA200" s="379">
        <f t="shared" si="112"/>
        <v>0</v>
      </c>
      <c r="AB200" s="379">
        <f t="shared" si="112"/>
        <v>0</v>
      </c>
      <c r="AC200" s="379">
        <f t="shared" si="112"/>
        <v>0</v>
      </c>
      <c r="AD200" s="379">
        <f t="shared" si="112"/>
        <v>0</v>
      </c>
      <c r="AE200" s="379">
        <f t="shared" si="112"/>
        <v>0</v>
      </c>
      <c r="AF200" s="379">
        <f t="shared" si="112"/>
        <v>0</v>
      </c>
      <c r="AG200" s="379">
        <f t="shared" si="112"/>
        <v>0</v>
      </c>
      <c r="AH200" s="379">
        <f t="shared" si="112"/>
        <v>0</v>
      </c>
      <c r="AI200" s="379">
        <f t="shared" si="112"/>
        <v>0</v>
      </c>
      <c r="AJ200" s="379">
        <f t="shared" si="112"/>
        <v>0</v>
      </c>
      <c r="AK200" s="379">
        <f t="shared" si="112"/>
        <v>0</v>
      </c>
      <c r="AL200" s="379">
        <f t="shared" si="112"/>
        <v>0</v>
      </c>
      <c r="AM200" s="379">
        <f t="shared" si="112"/>
        <v>0</v>
      </c>
      <c r="AN200" s="490">
        <f t="shared" si="112"/>
        <v>0</v>
      </c>
      <c r="AO200" s="379">
        <f t="shared" si="112"/>
        <v>0</v>
      </c>
      <c r="AP200" s="379">
        <f t="shared" si="112"/>
        <v>0</v>
      </c>
      <c r="AQ200" s="379">
        <f t="shared" si="112"/>
        <v>0</v>
      </c>
      <c r="AR200" s="379">
        <f t="shared" si="112"/>
        <v>0</v>
      </c>
      <c r="AS200" s="379">
        <f t="shared" si="112"/>
        <v>0</v>
      </c>
      <c r="AT200" s="379">
        <f t="shared" si="112"/>
        <v>0</v>
      </c>
      <c r="AU200" s="379">
        <f t="shared" si="112"/>
        <v>0</v>
      </c>
      <c r="AV200" s="379">
        <f t="shared" si="112"/>
        <v>0</v>
      </c>
      <c r="AW200" s="379">
        <f t="shared" si="112"/>
        <v>0</v>
      </c>
      <c r="AX200" s="379">
        <f t="shared" si="112"/>
        <v>0</v>
      </c>
      <c r="AY200" s="379">
        <f t="shared" si="112"/>
        <v>0</v>
      </c>
    </row>
    <row r="201" spans="1:51" ht="13.5" thickBot="1" x14ac:dyDescent="0.25">
      <c r="A201" s="386"/>
      <c r="B201" s="387"/>
      <c r="C201" s="386" t="s">
        <v>269</v>
      </c>
      <c r="D201" s="386"/>
      <c r="E201" s="491"/>
      <c r="F201" s="384"/>
      <c r="G201" s="388">
        <f t="shared" ref="G201:AY201" si="113">MEDIAN(G184:G195)</f>
        <v>74751</v>
      </c>
      <c r="H201" s="388">
        <f t="shared" si="113"/>
        <v>30359.5</v>
      </c>
      <c r="I201" s="388">
        <f t="shared" si="113"/>
        <v>433</v>
      </c>
      <c r="J201" s="388" t="e">
        <f t="shared" si="113"/>
        <v>#NUM!</v>
      </c>
      <c r="K201" s="388">
        <f t="shared" si="113"/>
        <v>31434</v>
      </c>
      <c r="L201" s="388">
        <f t="shared" si="113"/>
        <v>0</v>
      </c>
      <c r="M201" s="388">
        <f t="shared" si="113"/>
        <v>32225</v>
      </c>
      <c r="N201" s="388">
        <f t="shared" si="113"/>
        <v>19487.5</v>
      </c>
      <c r="O201" s="388">
        <f t="shared" si="113"/>
        <v>0</v>
      </c>
      <c r="P201" s="388">
        <f t="shared" si="113"/>
        <v>0</v>
      </c>
      <c r="Q201" s="388" t="e">
        <f t="shared" si="113"/>
        <v>#NUM!</v>
      </c>
      <c r="R201" s="388" t="e">
        <f t="shared" si="113"/>
        <v>#NUM!</v>
      </c>
      <c r="S201" s="388">
        <f t="shared" si="113"/>
        <v>0</v>
      </c>
      <c r="T201" s="388">
        <f t="shared" si="113"/>
        <v>0</v>
      </c>
      <c r="U201" s="388">
        <f t="shared" si="113"/>
        <v>0</v>
      </c>
      <c r="V201" s="388">
        <f t="shared" si="113"/>
        <v>0</v>
      </c>
      <c r="W201" s="388">
        <f t="shared" si="113"/>
        <v>0</v>
      </c>
      <c r="X201" s="388">
        <f t="shared" si="113"/>
        <v>0</v>
      </c>
      <c r="Y201" s="388">
        <f t="shared" si="113"/>
        <v>0</v>
      </c>
      <c r="Z201" s="388">
        <f t="shared" si="113"/>
        <v>0</v>
      </c>
      <c r="AA201" s="388">
        <f t="shared" si="113"/>
        <v>0</v>
      </c>
      <c r="AB201" s="388">
        <f t="shared" si="113"/>
        <v>0</v>
      </c>
      <c r="AC201" s="388">
        <f t="shared" si="113"/>
        <v>0</v>
      </c>
      <c r="AD201" s="388">
        <f t="shared" si="113"/>
        <v>0</v>
      </c>
      <c r="AE201" s="388">
        <f t="shared" si="113"/>
        <v>0</v>
      </c>
      <c r="AF201" s="388">
        <f t="shared" si="113"/>
        <v>0</v>
      </c>
      <c r="AG201" s="388">
        <f t="shared" si="113"/>
        <v>0</v>
      </c>
      <c r="AH201" s="388">
        <f t="shared" si="113"/>
        <v>0</v>
      </c>
      <c r="AI201" s="388">
        <f t="shared" si="113"/>
        <v>0</v>
      </c>
      <c r="AJ201" s="388">
        <f t="shared" si="113"/>
        <v>0</v>
      </c>
      <c r="AK201" s="388">
        <f t="shared" si="113"/>
        <v>0</v>
      </c>
      <c r="AL201" s="388">
        <f t="shared" si="113"/>
        <v>0</v>
      </c>
      <c r="AM201" s="388">
        <f t="shared" si="113"/>
        <v>0</v>
      </c>
      <c r="AN201" s="492">
        <f t="shared" si="113"/>
        <v>0</v>
      </c>
      <c r="AO201" s="388">
        <f t="shared" si="113"/>
        <v>0</v>
      </c>
      <c r="AP201" s="388">
        <f t="shared" si="113"/>
        <v>0</v>
      </c>
      <c r="AQ201" s="388">
        <f t="shared" si="113"/>
        <v>0</v>
      </c>
      <c r="AR201" s="388">
        <f t="shared" si="113"/>
        <v>0</v>
      </c>
      <c r="AS201" s="388">
        <f t="shared" si="113"/>
        <v>0</v>
      </c>
      <c r="AT201" s="388">
        <f t="shared" si="113"/>
        <v>0</v>
      </c>
      <c r="AU201" s="388">
        <f t="shared" si="113"/>
        <v>0</v>
      </c>
      <c r="AV201" s="388">
        <f t="shared" si="113"/>
        <v>0</v>
      </c>
      <c r="AW201" s="388">
        <f t="shared" si="113"/>
        <v>0</v>
      </c>
      <c r="AX201" s="388">
        <f t="shared" si="113"/>
        <v>0</v>
      </c>
      <c r="AY201" s="388">
        <f t="shared" si="113"/>
        <v>0</v>
      </c>
    </row>
    <row r="202" spans="1:51" ht="13.5" thickTop="1" x14ac:dyDescent="0.2">
      <c r="B202" s="493" t="s">
        <v>261</v>
      </c>
      <c r="G202"/>
      <c r="H202"/>
      <c r="I202"/>
      <c r="J202"/>
      <c r="K202"/>
      <c r="L202" s="278"/>
    </row>
    <row r="203" spans="1:51" x14ac:dyDescent="0.2">
      <c r="B203" s="493"/>
      <c r="G203" s="370"/>
      <c r="H203" s="370"/>
      <c r="I203" s="370"/>
      <c r="J203" s="370"/>
      <c r="K203" s="370"/>
      <c r="L203" s="370"/>
    </row>
    <row r="204" spans="1:51" x14ac:dyDescent="0.2">
      <c r="G204" s="370"/>
      <c r="H204" s="370"/>
      <c r="I204" s="370"/>
      <c r="J204" s="370"/>
      <c r="K204" s="370"/>
      <c r="L204" s="370"/>
    </row>
    <row r="205" spans="1:51" ht="15.75" x14ac:dyDescent="0.25">
      <c r="B205" s="371" t="s">
        <v>20</v>
      </c>
      <c r="C205" s="501"/>
      <c r="D205" s="501"/>
      <c r="E205" s="502"/>
      <c r="F205" s="374"/>
      <c r="G205" s="375"/>
      <c r="H205" s="375"/>
      <c r="I205" s="375"/>
      <c r="J205" s="375"/>
      <c r="K205" s="375"/>
      <c r="L205" s="375"/>
    </row>
    <row r="206" spans="1:51" x14ac:dyDescent="0.2">
      <c r="A206" s="376">
        <v>10250</v>
      </c>
      <c r="B206" s="378" t="str">
        <f t="shared" ref="B206:B224" si="114">VLOOKUP($A206,$A$5:$L$133,2,FALSE)</f>
        <v>Ballina (A)</v>
      </c>
      <c r="C206" s="377" t="str">
        <f t="shared" ref="C206:C224" si="115">VLOOKUP($A206,$A$5:$L$133,3,FALSE)</f>
        <v>NEWF</v>
      </c>
      <c r="D206" s="503" t="str">
        <f t="shared" ref="D206:D224" si="116">VLOOKUP($A206,$A$5:$L$133,4,FALSE)</f>
        <v>R</v>
      </c>
      <c r="E206" s="503"/>
      <c r="F206"/>
      <c r="G206" s="379">
        <f t="shared" ref="G206:G224" si="117">VLOOKUP($A206,$A$5:$AY$132,7,FALSE)</f>
        <v>42556</v>
      </c>
      <c r="H206" s="379">
        <f t="shared" ref="H206:H224" si="118">VLOOKUP($A206,$A$5:$AY$132,8,FALSE)</f>
        <v>17744</v>
      </c>
      <c r="I206" s="379">
        <f t="shared" ref="I206:I224" si="119">VLOOKUP($A206,$A$5:$AY$132,9,FALSE)</f>
        <v>374</v>
      </c>
      <c r="J206" s="379" t="str">
        <f t="shared" ref="J206:J224" si="120">VLOOKUP($A206,$A$5:$AY$132,10,FALSE)</f>
        <v>Y</v>
      </c>
      <c r="K206" s="379">
        <f t="shared" ref="K206:K224" si="121">VLOOKUP($A206,$A$5:$AY$132,11,FALSE)</f>
        <v>17744</v>
      </c>
      <c r="L206" s="379">
        <f t="shared" ref="L206:L224" si="122">VLOOKUP($A206,$A$5:$AY$132,12,FALSE)</f>
        <v>0</v>
      </c>
      <c r="M206" s="379">
        <f t="shared" ref="M206:M224" si="123">VLOOKUP($A206,$A$4:$AY$132,13,FALSE)</f>
        <v>17744</v>
      </c>
      <c r="N206" s="379">
        <f t="shared" ref="N206:N224" si="124">VLOOKUP($A206,$A$4:$AY$132,14,FALSE)</f>
        <v>0</v>
      </c>
      <c r="O206" s="379">
        <f t="shared" ref="O206:O224" si="125">VLOOKUP($A206,$A$4:$AY$132,15,FALSE)</f>
        <v>14612</v>
      </c>
      <c r="P206" s="379">
        <f t="shared" ref="P206:P224" si="126">VLOOKUP($A206,$A$4:$AY$132,16,FALSE)</f>
        <v>0</v>
      </c>
      <c r="Q206" s="379" t="str">
        <f t="shared" ref="Q206:Q224" si="127">VLOOKUP($A206,$A$4:$AY$132,17,FALSE)</f>
        <v>Y</v>
      </c>
      <c r="R206" s="379" t="str">
        <f t="shared" ref="R206:R224" si="128">VLOOKUP($A206,$A$4:$AY$132,18,FALSE)</f>
        <v>Ballina Waste Management Centre</v>
      </c>
      <c r="S206" s="379">
        <f t="shared" ref="S206:S224" si="129">VLOOKUP($A206,$A$4:$AY$132,19,FALSE)</f>
        <v>0</v>
      </c>
      <c r="T206" s="379">
        <f t="shared" ref="T206:T224" si="130">VLOOKUP($A206,$A$4:$AY$132,20,FALSE)</f>
        <v>0</v>
      </c>
      <c r="U206" s="379">
        <f t="shared" ref="U206:U224" si="131">VLOOKUP($A206,$A$4:$AY$132,21,FALSE)</f>
        <v>0</v>
      </c>
      <c r="V206" s="379">
        <f t="shared" ref="V206:V224" si="132">VLOOKUP($A206,$A$4:$AY$132,22,FALSE)</f>
        <v>0</v>
      </c>
      <c r="W206" s="379">
        <f t="shared" ref="W206:W224" si="133">VLOOKUP($A206,$A$4:$AY$132,23,FALSE)</f>
        <v>0</v>
      </c>
      <c r="X206" s="379">
        <f t="shared" ref="X206:X224" si="134">VLOOKUP($A206,$A$4:$AY$132,24,FALSE)</f>
        <v>0</v>
      </c>
      <c r="Y206" s="379">
        <f t="shared" ref="Y206:Y224" si="135">VLOOKUP($A206,$A$4:$AY$132,25,FALSE)</f>
        <v>0</v>
      </c>
      <c r="Z206" s="379">
        <f t="shared" ref="Z206:Z224" si="136">VLOOKUP($A206,$A$4:$AY$132,26,FALSE)</f>
        <v>0</v>
      </c>
      <c r="AA206" s="379">
        <f t="shared" ref="AA206:AA224" si="137">VLOOKUP($A206,$A$4:$AY$132,27,FALSE)</f>
        <v>0</v>
      </c>
      <c r="AB206" s="379">
        <f t="shared" ref="AB206:AB224" si="138">VLOOKUP($A206,$A$4:$AY$132,28,FALSE)</f>
        <v>0</v>
      </c>
      <c r="AC206" s="379">
        <f t="shared" ref="AC206:AC224" si="139">VLOOKUP($A206,$A$4:$AY$132,29,FALSE)</f>
        <v>0</v>
      </c>
      <c r="AD206" s="379">
        <f t="shared" ref="AD206:AD224" si="140">VLOOKUP($A206,$A$4:$AY$132,30,FALSE)</f>
        <v>0</v>
      </c>
      <c r="AE206" s="379">
        <f t="shared" ref="AE206:AE224" si="141">VLOOKUP($A206,$A$4:$AY$132,31,FALSE)</f>
        <v>0</v>
      </c>
      <c r="AF206" s="379">
        <f t="shared" ref="AF206:AF224" si="142">VLOOKUP($A206,$A$4:$AY$132,32,FALSE)</f>
        <v>0</v>
      </c>
      <c r="AG206" s="379">
        <f t="shared" ref="AG206:AG224" si="143">VLOOKUP($A206,$A$4:$AY$132,33,FALSE)</f>
        <v>0</v>
      </c>
      <c r="AH206" s="379">
        <f t="shared" ref="AH206:AH224" si="144">VLOOKUP($A206,$A$4:$AY$132,34,FALSE)</f>
        <v>0</v>
      </c>
      <c r="AI206" s="379">
        <f t="shared" ref="AI206:AI224" si="145">VLOOKUP($A206,$A$4:$AY$132,35,FALSE)</f>
        <v>0</v>
      </c>
      <c r="AJ206" s="379">
        <f t="shared" ref="AJ206:AJ224" si="146">VLOOKUP($A206,$A$4:$AY$132,36,FALSE)</f>
        <v>0</v>
      </c>
      <c r="AK206" s="379">
        <f t="shared" ref="AK206:AK224" si="147">VLOOKUP($A206,$A$4:$AY$132,37,FALSE)</f>
        <v>0</v>
      </c>
      <c r="AL206" s="379">
        <f t="shared" ref="AL206:AL224" si="148">VLOOKUP($A206,$A$4:$AY$132,38,FALSE)</f>
        <v>0</v>
      </c>
      <c r="AM206" s="379">
        <f t="shared" ref="AM206:AM224" si="149">VLOOKUP($A206,$A$4:$AY$132,39,FALSE)</f>
        <v>0</v>
      </c>
      <c r="AN206" s="490">
        <f t="shared" ref="AN206:AN224" si="150">VLOOKUP($A206,$A$4:$AY$132,40,FALSE)</f>
        <v>0</v>
      </c>
      <c r="AO206" s="379">
        <f t="shared" ref="AO206:AO224" si="151">VLOOKUP($A206,$A$4:$AY$132,41,FALSE)</f>
        <v>0</v>
      </c>
      <c r="AP206" s="379">
        <f t="shared" ref="AP206:AP224" si="152">VLOOKUP($A206,$A$4:$AY$132,42,FALSE)</f>
        <v>0</v>
      </c>
      <c r="AQ206" s="379">
        <f t="shared" ref="AQ206:AQ224" si="153">VLOOKUP($A206,$A$4:$AY$132,43,FALSE)</f>
        <v>0</v>
      </c>
      <c r="AR206" s="379">
        <f t="shared" ref="AR206:AR224" si="154">VLOOKUP($A206,$A$4:$AY$132,44,FALSE)</f>
        <v>0</v>
      </c>
      <c r="AS206" s="379">
        <f t="shared" ref="AS206:AS224" si="155">VLOOKUP($A206,$A$4:$AY$132,45,FALSE)</f>
        <v>0</v>
      </c>
      <c r="AT206" s="379">
        <f t="shared" ref="AT206:AT224" si="156">VLOOKUP($A206,$A$4:$AY$132,46,FALSE)</f>
        <v>0</v>
      </c>
      <c r="AU206" s="379">
        <f t="shared" ref="AU206:AU224" si="157">VLOOKUP($A206,$A$4:$AY$132,47,FALSE)</f>
        <v>0</v>
      </c>
      <c r="AV206" s="379">
        <f t="shared" ref="AV206:AV224" si="158">VLOOKUP($A206,$A$4:$AY$132,48,FALSE)</f>
        <v>0</v>
      </c>
      <c r="AW206" s="379">
        <f t="shared" ref="AW206:AW224" si="159">VLOOKUP($A206,$A$4:$AY$132,49,FALSE)</f>
        <v>0</v>
      </c>
      <c r="AX206" s="379">
        <f t="shared" ref="AX206:AX224" si="160">VLOOKUP($A206,$A$4:$AY$132,50,FALSE)</f>
        <v>0</v>
      </c>
      <c r="AY206" s="379">
        <f t="shared" ref="AY206:AY224" si="161">VLOOKUP($A206,$A$4:$AY$132,51,FALSE)</f>
        <v>0</v>
      </c>
    </row>
    <row r="207" spans="1:51" x14ac:dyDescent="0.2">
      <c r="A207" s="376">
        <v>10600</v>
      </c>
      <c r="B207" s="378" t="str">
        <f t="shared" si="114"/>
        <v>Bellingen (A)</v>
      </c>
      <c r="C207" s="377" t="str">
        <f t="shared" si="115"/>
        <v>MidWaste</v>
      </c>
      <c r="D207" s="503" t="str">
        <f t="shared" si="116"/>
        <v>R</v>
      </c>
      <c r="E207" s="503"/>
      <c r="F207"/>
      <c r="G207" s="379">
        <f t="shared" si="117"/>
        <v>13066</v>
      </c>
      <c r="H207" s="379">
        <f t="shared" si="118"/>
        <v>5911</v>
      </c>
      <c r="I207" s="379">
        <f t="shared" si="119"/>
        <v>659</v>
      </c>
      <c r="J207" s="379" t="str">
        <f t="shared" si="120"/>
        <v>Y</v>
      </c>
      <c r="K207" s="379">
        <f t="shared" si="121"/>
        <v>4045</v>
      </c>
      <c r="L207" s="379" t="str">
        <f t="shared" si="122"/>
        <v>Y</v>
      </c>
      <c r="M207" s="379">
        <f t="shared" si="123"/>
        <v>4045</v>
      </c>
      <c r="N207" s="379">
        <f t="shared" si="124"/>
        <v>0</v>
      </c>
      <c r="O207" s="379">
        <f t="shared" si="125"/>
        <v>4045</v>
      </c>
      <c r="P207" s="379" t="str">
        <f t="shared" si="126"/>
        <v>Y</v>
      </c>
      <c r="Q207" s="379" t="str">
        <f t="shared" si="127"/>
        <v>Y</v>
      </c>
      <c r="R207" s="379" t="str">
        <f t="shared" si="128"/>
        <v>Raleigh Waste Management Centre</v>
      </c>
      <c r="S207" s="379" t="str">
        <f t="shared" si="129"/>
        <v>Bellingen Transfer Station</v>
      </c>
      <c r="T207" s="379" t="str">
        <f t="shared" si="130"/>
        <v>Dorrigo Waste Management Centre</v>
      </c>
      <c r="U207" s="379">
        <f t="shared" si="131"/>
        <v>0</v>
      </c>
      <c r="V207" s="379">
        <f t="shared" si="132"/>
        <v>0</v>
      </c>
      <c r="W207" s="379">
        <f t="shared" si="133"/>
        <v>0</v>
      </c>
      <c r="X207" s="379">
        <f t="shared" si="134"/>
        <v>0</v>
      </c>
      <c r="Y207" s="379">
        <f t="shared" si="135"/>
        <v>0</v>
      </c>
      <c r="Z207" s="379">
        <f t="shared" si="136"/>
        <v>0</v>
      </c>
      <c r="AA207" s="379">
        <f t="shared" si="137"/>
        <v>0</v>
      </c>
      <c r="AB207" s="379">
        <f t="shared" si="138"/>
        <v>0</v>
      </c>
      <c r="AC207" s="379">
        <f t="shared" si="139"/>
        <v>0</v>
      </c>
      <c r="AD207" s="379">
        <f t="shared" si="140"/>
        <v>0</v>
      </c>
      <c r="AE207" s="379">
        <f t="shared" si="141"/>
        <v>0</v>
      </c>
      <c r="AF207" s="379">
        <f t="shared" si="142"/>
        <v>0</v>
      </c>
      <c r="AG207" s="379">
        <f t="shared" si="143"/>
        <v>0</v>
      </c>
      <c r="AH207" s="379">
        <f t="shared" si="144"/>
        <v>0</v>
      </c>
      <c r="AI207" s="379">
        <f t="shared" si="145"/>
        <v>0</v>
      </c>
      <c r="AJ207" s="379">
        <f t="shared" si="146"/>
        <v>0</v>
      </c>
      <c r="AK207" s="379">
        <f t="shared" si="147"/>
        <v>0</v>
      </c>
      <c r="AL207" s="379">
        <f t="shared" si="148"/>
        <v>0</v>
      </c>
      <c r="AM207" s="379">
        <f t="shared" si="149"/>
        <v>0</v>
      </c>
      <c r="AN207" s="490">
        <f t="shared" si="150"/>
        <v>0</v>
      </c>
      <c r="AO207" s="379">
        <f t="shared" si="151"/>
        <v>0</v>
      </c>
      <c r="AP207" s="379">
        <f t="shared" si="152"/>
        <v>0</v>
      </c>
      <c r="AQ207" s="379">
        <f t="shared" si="153"/>
        <v>0</v>
      </c>
      <c r="AR207" s="379">
        <f t="shared" si="154"/>
        <v>0</v>
      </c>
      <c r="AS207" s="379">
        <f t="shared" si="155"/>
        <v>0</v>
      </c>
      <c r="AT207" s="379">
        <f t="shared" si="156"/>
        <v>0</v>
      </c>
      <c r="AU207" s="379">
        <f t="shared" si="157"/>
        <v>0</v>
      </c>
      <c r="AV207" s="379">
        <f t="shared" si="158"/>
        <v>0</v>
      </c>
      <c r="AW207" s="379">
        <f t="shared" si="159"/>
        <v>0</v>
      </c>
      <c r="AX207" s="379">
        <f t="shared" si="160"/>
        <v>0</v>
      </c>
      <c r="AY207" s="379">
        <f t="shared" si="161"/>
        <v>0</v>
      </c>
    </row>
    <row r="208" spans="1:51" x14ac:dyDescent="0.2">
      <c r="A208" s="376">
        <v>10900</v>
      </c>
      <c r="B208" s="378" t="str">
        <f t="shared" si="114"/>
        <v>Blue Mountains (C)</v>
      </c>
      <c r="C208" s="377" t="str">
        <f t="shared" si="115"/>
        <v>WSROC</v>
      </c>
      <c r="D208" s="503" t="str">
        <f t="shared" si="116"/>
        <v>R</v>
      </c>
      <c r="E208" s="503"/>
      <c r="F208"/>
      <c r="G208" s="379">
        <f t="shared" si="117"/>
        <v>80072</v>
      </c>
      <c r="H208" s="379">
        <f t="shared" si="118"/>
        <v>34388</v>
      </c>
      <c r="I208" s="379">
        <f t="shared" si="119"/>
        <v>390</v>
      </c>
      <c r="J208" s="379" t="str">
        <f t="shared" si="120"/>
        <v>Y</v>
      </c>
      <c r="K208" s="379">
        <f t="shared" si="121"/>
        <v>33871</v>
      </c>
      <c r="L208" s="379">
        <f t="shared" si="122"/>
        <v>0</v>
      </c>
      <c r="M208" s="379">
        <f t="shared" si="123"/>
        <v>33840</v>
      </c>
      <c r="N208" s="379">
        <f t="shared" si="124"/>
        <v>33769</v>
      </c>
      <c r="O208" s="379">
        <f t="shared" si="125"/>
        <v>0</v>
      </c>
      <c r="P208" s="379" t="str">
        <f t="shared" si="126"/>
        <v>Y</v>
      </c>
      <c r="Q208" s="379" t="str">
        <f t="shared" si="127"/>
        <v>Y</v>
      </c>
      <c r="R208" s="379" t="str">
        <f t="shared" si="128"/>
        <v xml:space="preserve">Katoomba Waste and Resource Recovery Facility  </v>
      </c>
      <c r="S208" s="379" t="str">
        <f t="shared" si="129"/>
        <v>Blaxland Waste and Resource Recovery Facility</v>
      </c>
      <c r="T208" s="379">
        <f t="shared" si="130"/>
        <v>0</v>
      </c>
      <c r="U208" s="379">
        <f t="shared" si="131"/>
        <v>0</v>
      </c>
      <c r="V208" s="379">
        <f t="shared" si="132"/>
        <v>0</v>
      </c>
      <c r="W208" s="379">
        <f t="shared" si="133"/>
        <v>0</v>
      </c>
      <c r="X208" s="379">
        <f t="shared" si="134"/>
        <v>0</v>
      </c>
      <c r="Y208" s="379">
        <f t="shared" si="135"/>
        <v>0</v>
      </c>
      <c r="Z208" s="379">
        <f t="shared" si="136"/>
        <v>0</v>
      </c>
      <c r="AA208" s="379">
        <f t="shared" si="137"/>
        <v>0</v>
      </c>
      <c r="AB208" s="379">
        <f t="shared" si="138"/>
        <v>0</v>
      </c>
      <c r="AC208" s="379">
        <f t="shared" si="139"/>
        <v>0</v>
      </c>
      <c r="AD208" s="379">
        <f t="shared" si="140"/>
        <v>0</v>
      </c>
      <c r="AE208" s="379">
        <f t="shared" si="141"/>
        <v>0</v>
      </c>
      <c r="AF208" s="379">
        <f t="shared" si="142"/>
        <v>0</v>
      </c>
      <c r="AG208" s="379">
        <f t="shared" si="143"/>
        <v>0</v>
      </c>
      <c r="AH208" s="379">
        <f t="shared" si="144"/>
        <v>0</v>
      </c>
      <c r="AI208" s="379">
        <f t="shared" si="145"/>
        <v>0</v>
      </c>
      <c r="AJ208" s="379">
        <f t="shared" si="146"/>
        <v>0</v>
      </c>
      <c r="AK208" s="379">
        <f t="shared" si="147"/>
        <v>0</v>
      </c>
      <c r="AL208" s="379">
        <f t="shared" si="148"/>
        <v>0</v>
      </c>
      <c r="AM208" s="379">
        <f t="shared" si="149"/>
        <v>0</v>
      </c>
      <c r="AN208" s="490">
        <f t="shared" si="150"/>
        <v>0</v>
      </c>
      <c r="AO208" s="379">
        <f t="shared" si="151"/>
        <v>0</v>
      </c>
      <c r="AP208" s="379">
        <f t="shared" si="152"/>
        <v>0</v>
      </c>
      <c r="AQ208" s="379">
        <f t="shared" si="153"/>
        <v>0</v>
      </c>
      <c r="AR208" s="379">
        <f t="shared" si="154"/>
        <v>0</v>
      </c>
      <c r="AS208" s="379">
        <f t="shared" si="155"/>
        <v>0</v>
      </c>
      <c r="AT208" s="379">
        <f t="shared" si="156"/>
        <v>0</v>
      </c>
      <c r="AU208" s="379">
        <f t="shared" si="157"/>
        <v>0</v>
      </c>
      <c r="AV208" s="379">
        <f t="shared" si="158"/>
        <v>0</v>
      </c>
      <c r="AW208" s="379">
        <f t="shared" si="159"/>
        <v>0</v>
      </c>
      <c r="AX208" s="379">
        <f t="shared" si="160"/>
        <v>0</v>
      </c>
      <c r="AY208" s="379">
        <f t="shared" si="161"/>
        <v>0</v>
      </c>
    </row>
    <row r="209" spans="1:51" x14ac:dyDescent="0.2">
      <c r="A209" s="376">
        <v>11350</v>
      </c>
      <c r="B209" s="378" t="str">
        <f t="shared" si="114"/>
        <v>Byron (A)</v>
      </c>
      <c r="C209" s="377" t="str">
        <f t="shared" si="115"/>
        <v>NEWF</v>
      </c>
      <c r="D209" s="503" t="str">
        <f t="shared" si="116"/>
        <v>R</v>
      </c>
      <c r="E209" s="503"/>
      <c r="F209"/>
      <c r="G209" s="379">
        <f t="shared" si="117"/>
        <v>33278</v>
      </c>
      <c r="H209" s="379">
        <f t="shared" si="118"/>
        <v>15348</v>
      </c>
      <c r="I209" s="379">
        <f t="shared" si="119"/>
        <v>260</v>
      </c>
      <c r="J209" s="379" t="str">
        <f t="shared" si="120"/>
        <v>Y</v>
      </c>
      <c r="K209" s="379">
        <f t="shared" si="121"/>
        <v>13526</v>
      </c>
      <c r="L209" s="379">
        <f t="shared" si="122"/>
        <v>0</v>
      </c>
      <c r="M209" s="379">
        <f t="shared" si="123"/>
        <v>13617</v>
      </c>
      <c r="N209" s="379">
        <f t="shared" si="124"/>
        <v>0</v>
      </c>
      <c r="O209" s="379">
        <f t="shared" si="125"/>
        <v>10536</v>
      </c>
      <c r="P209" s="379" t="str">
        <f t="shared" si="126"/>
        <v>Y</v>
      </c>
      <c r="Q209" s="379" t="str">
        <f t="shared" si="127"/>
        <v>Y</v>
      </c>
      <c r="R209" s="379" t="str">
        <f t="shared" si="128"/>
        <v>Byron Resource Recovery Facility</v>
      </c>
      <c r="S209" s="379">
        <f t="shared" si="129"/>
        <v>0</v>
      </c>
      <c r="T209" s="379">
        <f t="shared" si="130"/>
        <v>0</v>
      </c>
      <c r="U209" s="379">
        <f t="shared" si="131"/>
        <v>0</v>
      </c>
      <c r="V209" s="379">
        <f t="shared" si="132"/>
        <v>0</v>
      </c>
      <c r="W209" s="379">
        <f t="shared" si="133"/>
        <v>0</v>
      </c>
      <c r="X209" s="379">
        <f t="shared" si="134"/>
        <v>0</v>
      </c>
      <c r="Y209" s="379">
        <f t="shared" si="135"/>
        <v>0</v>
      </c>
      <c r="Z209" s="379">
        <f t="shared" si="136"/>
        <v>0</v>
      </c>
      <c r="AA209" s="379">
        <f t="shared" si="137"/>
        <v>0</v>
      </c>
      <c r="AB209" s="379">
        <f t="shared" si="138"/>
        <v>0</v>
      </c>
      <c r="AC209" s="379">
        <f t="shared" si="139"/>
        <v>0</v>
      </c>
      <c r="AD209" s="379">
        <f t="shared" si="140"/>
        <v>0</v>
      </c>
      <c r="AE209" s="379">
        <f t="shared" si="141"/>
        <v>0</v>
      </c>
      <c r="AF209" s="379">
        <f t="shared" si="142"/>
        <v>0</v>
      </c>
      <c r="AG209" s="379">
        <f t="shared" si="143"/>
        <v>0</v>
      </c>
      <c r="AH209" s="379">
        <f t="shared" si="144"/>
        <v>0</v>
      </c>
      <c r="AI209" s="379">
        <f t="shared" si="145"/>
        <v>0</v>
      </c>
      <c r="AJ209" s="379">
        <f t="shared" si="146"/>
        <v>0</v>
      </c>
      <c r="AK209" s="379">
        <f t="shared" si="147"/>
        <v>0</v>
      </c>
      <c r="AL209" s="379">
        <f t="shared" si="148"/>
        <v>0</v>
      </c>
      <c r="AM209" s="379">
        <f t="shared" si="149"/>
        <v>0</v>
      </c>
      <c r="AN209" s="490">
        <f t="shared" si="150"/>
        <v>0</v>
      </c>
      <c r="AO209" s="379">
        <f t="shared" si="151"/>
        <v>0</v>
      </c>
      <c r="AP209" s="379">
        <f t="shared" si="152"/>
        <v>0</v>
      </c>
      <c r="AQ209" s="379">
        <f t="shared" si="153"/>
        <v>0</v>
      </c>
      <c r="AR209" s="379">
        <f t="shared" si="154"/>
        <v>0</v>
      </c>
      <c r="AS209" s="379">
        <f t="shared" si="155"/>
        <v>0</v>
      </c>
      <c r="AT209" s="379">
        <f t="shared" si="156"/>
        <v>0</v>
      </c>
      <c r="AU209" s="379">
        <f t="shared" si="157"/>
        <v>0</v>
      </c>
      <c r="AV209" s="379">
        <f t="shared" si="158"/>
        <v>0</v>
      </c>
      <c r="AW209" s="379">
        <f t="shared" si="159"/>
        <v>0</v>
      </c>
      <c r="AX209" s="379">
        <f t="shared" si="160"/>
        <v>0</v>
      </c>
      <c r="AY209" s="379">
        <f t="shared" si="161"/>
        <v>0</v>
      </c>
    </row>
    <row r="210" spans="1:51" x14ac:dyDescent="0.2">
      <c r="A210" s="376">
        <v>11730</v>
      </c>
      <c r="B210" s="378" t="str">
        <f t="shared" si="114"/>
        <v>Clarence Valley (A)</v>
      </c>
      <c r="C210" s="377" t="str">
        <f t="shared" si="115"/>
        <v>NEWF</v>
      </c>
      <c r="D210" s="503" t="str">
        <f t="shared" si="116"/>
        <v>R</v>
      </c>
      <c r="E210" s="503"/>
      <c r="F210"/>
      <c r="G210" s="379">
        <f t="shared" si="117"/>
        <v>51211</v>
      </c>
      <c r="H210" s="379">
        <f t="shared" si="118"/>
        <v>23646</v>
      </c>
      <c r="I210" s="379">
        <f t="shared" si="119"/>
        <v>310</v>
      </c>
      <c r="J210" s="379" t="str">
        <f t="shared" si="120"/>
        <v>Y</v>
      </c>
      <c r="K210" s="379">
        <f t="shared" si="121"/>
        <v>22149</v>
      </c>
      <c r="L210" s="379">
        <f t="shared" si="122"/>
        <v>0</v>
      </c>
      <c r="M210" s="379">
        <f t="shared" si="123"/>
        <v>22105</v>
      </c>
      <c r="N210" s="379">
        <f t="shared" si="124"/>
        <v>0</v>
      </c>
      <c r="O210" s="379">
        <f t="shared" si="125"/>
        <v>17912</v>
      </c>
      <c r="P210" s="379" t="str">
        <f t="shared" si="126"/>
        <v>Y</v>
      </c>
      <c r="Q210" s="379" t="str">
        <f t="shared" si="127"/>
        <v>Y</v>
      </c>
      <c r="R210" s="379" t="str">
        <f t="shared" si="128"/>
        <v>Grafton Landfill</v>
      </c>
      <c r="S210" s="379" t="str">
        <f t="shared" si="129"/>
        <v>Glenreagh WTS</v>
      </c>
      <c r="T210" s="379" t="str">
        <f t="shared" si="130"/>
        <v>Grafton WTS</v>
      </c>
      <c r="U210" s="379" t="str">
        <f t="shared" si="131"/>
        <v>Maclean WTS</v>
      </c>
      <c r="V210" s="379" t="str">
        <f t="shared" si="132"/>
        <v>Tyringham WTS</v>
      </c>
      <c r="W210" s="379" t="str">
        <f t="shared" si="133"/>
        <v>Copmanhurst &amp; Iluka &amp; Baryulgil</v>
      </c>
      <c r="X210" s="379">
        <f t="shared" si="134"/>
        <v>0</v>
      </c>
      <c r="Y210" s="379">
        <f t="shared" si="135"/>
        <v>0</v>
      </c>
      <c r="Z210" s="379">
        <f t="shared" si="136"/>
        <v>0</v>
      </c>
      <c r="AA210" s="379">
        <f t="shared" si="137"/>
        <v>0</v>
      </c>
      <c r="AB210" s="379">
        <f t="shared" si="138"/>
        <v>0</v>
      </c>
      <c r="AC210" s="379">
        <f t="shared" si="139"/>
        <v>0</v>
      </c>
      <c r="AD210" s="379">
        <f t="shared" si="140"/>
        <v>0</v>
      </c>
      <c r="AE210" s="379">
        <f t="shared" si="141"/>
        <v>0</v>
      </c>
      <c r="AF210" s="379">
        <f t="shared" si="142"/>
        <v>0</v>
      </c>
      <c r="AG210" s="379">
        <f t="shared" si="143"/>
        <v>0</v>
      </c>
      <c r="AH210" s="379">
        <f t="shared" si="144"/>
        <v>0</v>
      </c>
      <c r="AI210" s="379">
        <f t="shared" si="145"/>
        <v>0</v>
      </c>
      <c r="AJ210" s="379">
        <f t="shared" si="146"/>
        <v>0</v>
      </c>
      <c r="AK210" s="379">
        <f t="shared" si="147"/>
        <v>0</v>
      </c>
      <c r="AL210" s="379">
        <f t="shared" si="148"/>
        <v>0</v>
      </c>
      <c r="AM210" s="379">
        <f t="shared" si="149"/>
        <v>0</v>
      </c>
      <c r="AN210" s="490">
        <f t="shared" si="150"/>
        <v>0</v>
      </c>
      <c r="AO210" s="379">
        <f t="shared" si="151"/>
        <v>0</v>
      </c>
      <c r="AP210" s="379">
        <f t="shared" si="152"/>
        <v>0</v>
      </c>
      <c r="AQ210" s="379">
        <f t="shared" si="153"/>
        <v>0</v>
      </c>
      <c r="AR210" s="379">
        <f t="shared" si="154"/>
        <v>0</v>
      </c>
      <c r="AS210" s="379">
        <f t="shared" si="155"/>
        <v>0</v>
      </c>
      <c r="AT210" s="379">
        <f t="shared" si="156"/>
        <v>0</v>
      </c>
      <c r="AU210" s="379">
        <f t="shared" si="157"/>
        <v>0</v>
      </c>
      <c r="AV210" s="379">
        <f t="shared" si="158"/>
        <v>0</v>
      </c>
      <c r="AW210" s="379">
        <f t="shared" si="159"/>
        <v>0</v>
      </c>
      <c r="AX210" s="379">
        <f t="shared" si="160"/>
        <v>0</v>
      </c>
      <c r="AY210" s="379">
        <f t="shared" si="161"/>
        <v>0</v>
      </c>
    </row>
    <row r="211" spans="1:51" x14ac:dyDescent="0.2">
      <c r="A211" s="376">
        <v>11800</v>
      </c>
      <c r="B211" s="378" t="str">
        <f t="shared" si="114"/>
        <v>Coffs Harbour (C)</v>
      </c>
      <c r="C211" s="377" t="str">
        <f t="shared" si="115"/>
        <v>MidWaste</v>
      </c>
      <c r="D211" s="503" t="str">
        <f t="shared" si="116"/>
        <v>R</v>
      </c>
      <c r="E211" s="503"/>
      <c r="F211"/>
      <c r="G211" s="379">
        <f t="shared" si="117"/>
        <v>73892</v>
      </c>
      <c r="H211" s="379">
        <f t="shared" si="118"/>
        <v>29320</v>
      </c>
      <c r="I211" s="379">
        <f t="shared" si="119"/>
        <v>636</v>
      </c>
      <c r="J211" s="379" t="str">
        <f t="shared" si="120"/>
        <v>Y</v>
      </c>
      <c r="K211" s="379">
        <f t="shared" si="121"/>
        <v>32052</v>
      </c>
      <c r="L211" s="379" t="str">
        <f t="shared" si="122"/>
        <v>Y</v>
      </c>
      <c r="M211" s="379">
        <f t="shared" si="123"/>
        <v>27207</v>
      </c>
      <c r="N211" s="379">
        <f t="shared" si="124"/>
        <v>0</v>
      </c>
      <c r="O211" s="379">
        <f t="shared" si="125"/>
        <v>32079</v>
      </c>
      <c r="P211" s="379" t="str">
        <f t="shared" si="126"/>
        <v>Y</v>
      </c>
      <c r="Q211" s="379" t="str">
        <f t="shared" si="127"/>
        <v>Y</v>
      </c>
      <c r="R211" s="379" t="str">
        <f t="shared" si="128"/>
        <v>Coramba Transfer Station</v>
      </c>
      <c r="S211" s="379" t="str">
        <f t="shared" si="129"/>
        <v>Lowanna Transfer Station</v>
      </c>
      <c r="T211" s="379" t="str">
        <f t="shared" si="130"/>
        <v>Woolgoolga Transfer Station</v>
      </c>
      <c r="U211" s="379" t="str">
        <f t="shared" si="131"/>
        <v xml:space="preserve">Englands Road Waste Management Facility </v>
      </c>
      <c r="V211" s="379">
        <f t="shared" si="132"/>
        <v>0</v>
      </c>
      <c r="W211" s="379">
        <f t="shared" si="133"/>
        <v>0</v>
      </c>
      <c r="X211" s="379">
        <f t="shared" si="134"/>
        <v>0</v>
      </c>
      <c r="Y211" s="379">
        <f t="shared" si="135"/>
        <v>0</v>
      </c>
      <c r="Z211" s="379">
        <f t="shared" si="136"/>
        <v>0</v>
      </c>
      <c r="AA211" s="379">
        <f t="shared" si="137"/>
        <v>0</v>
      </c>
      <c r="AB211" s="379">
        <f t="shared" si="138"/>
        <v>0</v>
      </c>
      <c r="AC211" s="379">
        <f t="shared" si="139"/>
        <v>0</v>
      </c>
      <c r="AD211" s="379">
        <f t="shared" si="140"/>
        <v>0</v>
      </c>
      <c r="AE211" s="379">
        <f t="shared" si="141"/>
        <v>0</v>
      </c>
      <c r="AF211" s="379">
        <f t="shared" si="142"/>
        <v>0</v>
      </c>
      <c r="AG211" s="379">
        <f t="shared" si="143"/>
        <v>0</v>
      </c>
      <c r="AH211" s="379">
        <f t="shared" si="144"/>
        <v>0</v>
      </c>
      <c r="AI211" s="379">
        <f t="shared" si="145"/>
        <v>0</v>
      </c>
      <c r="AJ211" s="379">
        <f t="shared" si="146"/>
        <v>0</v>
      </c>
      <c r="AK211" s="379">
        <f t="shared" si="147"/>
        <v>0</v>
      </c>
      <c r="AL211" s="379">
        <f t="shared" si="148"/>
        <v>0</v>
      </c>
      <c r="AM211" s="379">
        <f t="shared" si="149"/>
        <v>0</v>
      </c>
      <c r="AN211" s="490">
        <f t="shared" si="150"/>
        <v>0</v>
      </c>
      <c r="AO211" s="379">
        <f t="shared" si="151"/>
        <v>0</v>
      </c>
      <c r="AP211" s="379">
        <f t="shared" si="152"/>
        <v>0</v>
      </c>
      <c r="AQ211" s="379">
        <f t="shared" si="153"/>
        <v>0</v>
      </c>
      <c r="AR211" s="379">
        <f t="shared" si="154"/>
        <v>0</v>
      </c>
      <c r="AS211" s="379">
        <f t="shared" si="155"/>
        <v>0</v>
      </c>
      <c r="AT211" s="379">
        <f t="shared" si="156"/>
        <v>0</v>
      </c>
      <c r="AU211" s="379">
        <f t="shared" si="157"/>
        <v>0</v>
      </c>
      <c r="AV211" s="379">
        <f t="shared" si="158"/>
        <v>0</v>
      </c>
      <c r="AW211" s="379">
        <f t="shared" si="159"/>
        <v>0</v>
      </c>
      <c r="AX211" s="379">
        <f t="shared" si="160"/>
        <v>0</v>
      </c>
      <c r="AY211" s="379">
        <f t="shared" si="161"/>
        <v>0</v>
      </c>
    </row>
    <row r="212" spans="1:51" x14ac:dyDescent="0.2">
      <c r="A212" s="376">
        <v>12700</v>
      </c>
      <c r="B212" s="378" t="str">
        <f t="shared" si="114"/>
        <v>Dungog (A)</v>
      </c>
      <c r="C212" s="377" t="str">
        <f t="shared" si="115"/>
        <v>Hunter</v>
      </c>
      <c r="D212" s="503" t="str">
        <f t="shared" si="116"/>
        <v>R</v>
      </c>
      <c r="E212" s="503"/>
      <c r="F212"/>
      <c r="G212" s="379">
        <f t="shared" si="117"/>
        <v>9323</v>
      </c>
      <c r="H212" s="379">
        <f t="shared" si="118"/>
        <v>5283</v>
      </c>
      <c r="I212" s="379">
        <f t="shared" si="119"/>
        <v>386.9</v>
      </c>
      <c r="J212" s="379" t="str">
        <f t="shared" si="120"/>
        <v>Y</v>
      </c>
      <c r="K212" s="379">
        <f t="shared" si="121"/>
        <v>3545</v>
      </c>
      <c r="L212" s="379">
        <f t="shared" si="122"/>
        <v>0</v>
      </c>
      <c r="M212" s="379">
        <f t="shared" si="123"/>
        <v>3521</v>
      </c>
      <c r="N212" s="379">
        <f t="shared" si="124"/>
        <v>0</v>
      </c>
      <c r="O212" s="379">
        <f t="shared" si="125"/>
        <v>0</v>
      </c>
      <c r="P212" s="379" t="str">
        <f t="shared" si="126"/>
        <v>Y</v>
      </c>
      <c r="Q212" s="379" t="str">
        <f t="shared" si="127"/>
        <v>Y</v>
      </c>
      <c r="R212" s="379" t="str">
        <f t="shared" si="128"/>
        <v>Dungog Waste Management facility</v>
      </c>
      <c r="S212" s="379">
        <f t="shared" si="129"/>
        <v>0</v>
      </c>
      <c r="T212" s="379">
        <f t="shared" si="130"/>
        <v>0</v>
      </c>
      <c r="U212" s="379">
        <f t="shared" si="131"/>
        <v>0</v>
      </c>
      <c r="V212" s="379">
        <f t="shared" si="132"/>
        <v>0</v>
      </c>
      <c r="W212" s="379">
        <f t="shared" si="133"/>
        <v>0</v>
      </c>
      <c r="X212" s="379">
        <f t="shared" si="134"/>
        <v>0</v>
      </c>
      <c r="Y212" s="379">
        <f t="shared" si="135"/>
        <v>0</v>
      </c>
      <c r="Z212" s="379">
        <f t="shared" si="136"/>
        <v>0</v>
      </c>
      <c r="AA212" s="379">
        <f t="shared" si="137"/>
        <v>0</v>
      </c>
      <c r="AB212" s="379">
        <f t="shared" si="138"/>
        <v>0</v>
      </c>
      <c r="AC212" s="379">
        <f t="shared" si="139"/>
        <v>0</v>
      </c>
      <c r="AD212" s="379">
        <f t="shared" si="140"/>
        <v>0</v>
      </c>
      <c r="AE212" s="379">
        <f t="shared" si="141"/>
        <v>0</v>
      </c>
      <c r="AF212" s="379">
        <f t="shared" si="142"/>
        <v>0</v>
      </c>
      <c r="AG212" s="379">
        <f t="shared" si="143"/>
        <v>0</v>
      </c>
      <c r="AH212" s="379">
        <f t="shared" si="144"/>
        <v>0</v>
      </c>
      <c r="AI212" s="379">
        <f t="shared" si="145"/>
        <v>0</v>
      </c>
      <c r="AJ212" s="379">
        <f t="shared" si="146"/>
        <v>0</v>
      </c>
      <c r="AK212" s="379">
        <f t="shared" si="147"/>
        <v>0</v>
      </c>
      <c r="AL212" s="379">
        <f t="shared" si="148"/>
        <v>0</v>
      </c>
      <c r="AM212" s="379">
        <f t="shared" si="149"/>
        <v>0</v>
      </c>
      <c r="AN212" s="490">
        <f t="shared" si="150"/>
        <v>0</v>
      </c>
      <c r="AO212" s="379">
        <f t="shared" si="151"/>
        <v>0</v>
      </c>
      <c r="AP212" s="379">
        <f t="shared" si="152"/>
        <v>0</v>
      </c>
      <c r="AQ212" s="379">
        <f t="shared" si="153"/>
        <v>0</v>
      </c>
      <c r="AR212" s="379">
        <f t="shared" si="154"/>
        <v>0</v>
      </c>
      <c r="AS212" s="379">
        <f t="shared" si="155"/>
        <v>0</v>
      </c>
      <c r="AT212" s="379">
        <f t="shared" si="156"/>
        <v>0</v>
      </c>
      <c r="AU212" s="379">
        <f t="shared" si="157"/>
        <v>0</v>
      </c>
      <c r="AV212" s="379">
        <f t="shared" si="158"/>
        <v>0</v>
      </c>
      <c r="AW212" s="379">
        <f t="shared" si="159"/>
        <v>0</v>
      </c>
      <c r="AX212" s="379">
        <f t="shared" si="160"/>
        <v>0</v>
      </c>
      <c r="AY212" s="379">
        <f t="shared" si="161"/>
        <v>0</v>
      </c>
    </row>
    <row r="213" spans="1:51" x14ac:dyDescent="0.2">
      <c r="A213" s="376">
        <v>14350</v>
      </c>
      <c r="B213" s="378" t="str">
        <f t="shared" si="114"/>
        <v>Kempsey (A)</v>
      </c>
      <c r="C213" s="377" t="str">
        <f t="shared" si="115"/>
        <v>MidWaste</v>
      </c>
      <c r="D213" s="503" t="str">
        <f t="shared" si="116"/>
        <v>R</v>
      </c>
      <c r="E213" s="503"/>
      <c r="F213"/>
      <c r="G213" s="379">
        <f t="shared" si="117"/>
        <v>29842</v>
      </c>
      <c r="H213" s="379">
        <f t="shared" si="118"/>
        <v>12979</v>
      </c>
      <c r="I213" s="379">
        <f t="shared" si="119"/>
        <v>422</v>
      </c>
      <c r="J213" s="379" t="str">
        <f t="shared" si="120"/>
        <v>Y</v>
      </c>
      <c r="K213" s="379">
        <f t="shared" si="121"/>
        <v>11871</v>
      </c>
      <c r="L213" s="379">
        <f t="shared" si="122"/>
        <v>0</v>
      </c>
      <c r="M213" s="379">
        <f t="shared" si="123"/>
        <v>11851</v>
      </c>
      <c r="N213" s="379">
        <f t="shared" si="124"/>
        <v>0</v>
      </c>
      <c r="O213" s="379">
        <f t="shared" si="125"/>
        <v>7744</v>
      </c>
      <c r="P213" s="379">
        <f t="shared" si="126"/>
        <v>0</v>
      </c>
      <c r="Q213" s="379" t="str">
        <f t="shared" si="127"/>
        <v>Y</v>
      </c>
      <c r="R213" s="379" t="str">
        <f t="shared" si="128"/>
        <v>Kempsey Waste Management Centre</v>
      </c>
      <c r="S213" s="379" t="str">
        <f t="shared" si="129"/>
        <v>South West Rocks Transfer Station</v>
      </c>
      <c r="T213" s="379" t="str">
        <f t="shared" si="130"/>
        <v>Stuarts Point Transfer Station</v>
      </c>
      <c r="U213" s="379" t="str">
        <f t="shared" si="131"/>
        <v>Bellbrook Transfer Station</v>
      </c>
      <c r="V213" s="379">
        <f t="shared" si="132"/>
        <v>0</v>
      </c>
      <c r="W213" s="379">
        <f t="shared" si="133"/>
        <v>0</v>
      </c>
      <c r="X213" s="379">
        <f t="shared" si="134"/>
        <v>0</v>
      </c>
      <c r="Y213" s="379">
        <f t="shared" si="135"/>
        <v>0</v>
      </c>
      <c r="Z213" s="379">
        <f t="shared" si="136"/>
        <v>0</v>
      </c>
      <c r="AA213" s="379">
        <f t="shared" si="137"/>
        <v>0</v>
      </c>
      <c r="AB213" s="379">
        <f t="shared" si="138"/>
        <v>0</v>
      </c>
      <c r="AC213" s="379">
        <f t="shared" si="139"/>
        <v>0</v>
      </c>
      <c r="AD213" s="379">
        <f t="shared" si="140"/>
        <v>0</v>
      </c>
      <c r="AE213" s="379">
        <f t="shared" si="141"/>
        <v>0</v>
      </c>
      <c r="AF213" s="379">
        <f t="shared" si="142"/>
        <v>0</v>
      </c>
      <c r="AG213" s="379">
        <f t="shared" si="143"/>
        <v>0</v>
      </c>
      <c r="AH213" s="379">
        <f t="shared" si="144"/>
        <v>0</v>
      </c>
      <c r="AI213" s="379">
        <f t="shared" si="145"/>
        <v>0</v>
      </c>
      <c r="AJ213" s="379">
        <f t="shared" si="146"/>
        <v>0</v>
      </c>
      <c r="AK213" s="379">
        <f t="shared" si="147"/>
        <v>0</v>
      </c>
      <c r="AL213" s="379">
        <f t="shared" si="148"/>
        <v>0</v>
      </c>
      <c r="AM213" s="379">
        <f t="shared" si="149"/>
        <v>0</v>
      </c>
      <c r="AN213" s="490">
        <f t="shared" si="150"/>
        <v>0</v>
      </c>
      <c r="AO213" s="379">
        <f t="shared" si="151"/>
        <v>0</v>
      </c>
      <c r="AP213" s="379">
        <f t="shared" si="152"/>
        <v>0</v>
      </c>
      <c r="AQ213" s="379">
        <f t="shared" si="153"/>
        <v>0</v>
      </c>
      <c r="AR213" s="379">
        <f t="shared" si="154"/>
        <v>0</v>
      </c>
      <c r="AS213" s="379">
        <f t="shared" si="155"/>
        <v>0</v>
      </c>
      <c r="AT213" s="379">
        <f t="shared" si="156"/>
        <v>0</v>
      </c>
      <c r="AU213" s="379">
        <f t="shared" si="157"/>
        <v>0</v>
      </c>
      <c r="AV213" s="379">
        <f t="shared" si="158"/>
        <v>0</v>
      </c>
      <c r="AW213" s="379">
        <f t="shared" si="159"/>
        <v>0</v>
      </c>
      <c r="AX213" s="379">
        <f t="shared" si="160"/>
        <v>0</v>
      </c>
      <c r="AY213" s="379">
        <f t="shared" si="161"/>
        <v>0</v>
      </c>
    </row>
    <row r="214" spans="1:51" x14ac:dyDescent="0.2">
      <c r="A214" s="376">
        <v>14550</v>
      </c>
      <c r="B214" s="378" t="str">
        <f t="shared" si="114"/>
        <v>Kyogle (A)</v>
      </c>
      <c r="C214" s="377" t="str">
        <f t="shared" si="115"/>
        <v>NEWF</v>
      </c>
      <c r="D214" s="503" t="str">
        <f t="shared" si="116"/>
        <v>R</v>
      </c>
      <c r="E214" s="503"/>
      <c r="F214"/>
      <c r="G214" s="379">
        <f t="shared" si="117"/>
        <v>9542</v>
      </c>
      <c r="H214" s="379">
        <f t="shared" si="118"/>
        <v>4022</v>
      </c>
      <c r="I214" s="379">
        <f t="shared" si="119"/>
        <v>450</v>
      </c>
      <c r="J214" s="379" t="str">
        <f t="shared" si="120"/>
        <v>Y</v>
      </c>
      <c r="K214" s="379">
        <f t="shared" si="121"/>
        <v>2016</v>
      </c>
      <c r="L214" s="379">
        <f t="shared" si="122"/>
        <v>0</v>
      </c>
      <c r="M214" s="379">
        <f t="shared" si="123"/>
        <v>2016</v>
      </c>
      <c r="N214" s="379">
        <f t="shared" si="124"/>
        <v>0</v>
      </c>
      <c r="O214" s="379">
        <f t="shared" si="125"/>
        <v>0</v>
      </c>
      <c r="P214" s="379">
        <f t="shared" si="126"/>
        <v>0</v>
      </c>
      <c r="Q214" s="379" t="str">
        <f t="shared" si="127"/>
        <v>Y</v>
      </c>
      <c r="R214" s="379" t="str">
        <f t="shared" si="128"/>
        <v>Kyogle Landfill</v>
      </c>
      <c r="S214" s="379" t="str">
        <f t="shared" si="129"/>
        <v>Woodenbong Landfill</v>
      </c>
      <c r="T214" s="379">
        <f t="shared" si="130"/>
        <v>0</v>
      </c>
      <c r="U214" s="379">
        <f t="shared" si="131"/>
        <v>0</v>
      </c>
      <c r="V214" s="379">
        <f t="shared" si="132"/>
        <v>0</v>
      </c>
      <c r="W214" s="379">
        <f t="shared" si="133"/>
        <v>0</v>
      </c>
      <c r="X214" s="379">
        <f t="shared" si="134"/>
        <v>0</v>
      </c>
      <c r="Y214" s="379">
        <f t="shared" si="135"/>
        <v>0</v>
      </c>
      <c r="Z214" s="379">
        <f t="shared" si="136"/>
        <v>0</v>
      </c>
      <c r="AA214" s="379">
        <f t="shared" si="137"/>
        <v>0</v>
      </c>
      <c r="AB214" s="379">
        <f t="shared" si="138"/>
        <v>0</v>
      </c>
      <c r="AC214" s="379">
        <f t="shared" si="139"/>
        <v>0</v>
      </c>
      <c r="AD214" s="379">
        <f t="shared" si="140"/>
        <v>0</v>
      </c>
      <c r="AE214" s="379">
        <f t="shared" si="141"/>
        <v>0</v>
      </c>
      <c r="AF214" s="379">
        <f t="shared" si="142"/>
        <v>0</v>
      </c>
      <c r="AG214" s="379">
        <f t="shared" si="143"/>
        <v>0</v>
      </c>
      <c r="AH214" s="379">
        <f t="shared" si="144"/>
        <v>0</v>
      </c>
      <c r="AI214" s="379">
        <f t="shared" si="145"/>
        <v>0</v>
      </c>
      <c r="AJ214" s="379">
        <f t="shared" si="146"/>
        <v>0</v>
      </c>
      <c r="AK214" s="379">
        <f t="shared" si="147"/>
        <v>0</v>
      </c>
      <c r="AL214" s="379">
        <f t="shared" si="148"/>
        <v>0</v>
      </c>
      <c r="AM214" s="379">
        <f t="shared" si="149"/>
        <v>0</v>
      </c>
      <c r="AN214" s="490">
        <f t="shared" si="150"/>
        <v>0</v>
      </c>
      <c r="AO214" s="379">
        <f t="shared" si="151"/>
        <v>0</v>
      </c>
      <c r="AP214" s="379">
        <f t="shared" si="152"/>
        <v>0</v>
      </c>
      <c r="AQ214" s="379">
        <f t="shared" si="153"/>
        <v>0</v>
      </c>
      <c r="AR214" s="379">
        <f t="shared" si="154"/>
        <v>0</v>
      </c>
      <c r="AS214" s="379">
        <f t="shared" si="155"/>
        <v>0</v>
      </c>
      <c r="AT214" s="379">
        <f t="shared" si="156"/>
        <v>0</v>
      </c>
      <c r="AU214" s="379">
        <f t="shared" si="157"/>
        <v>0</v>
      </c>
      <c r="AV214" s="379">
        <f t="shared" si="158"/>
        <v>0</v>
      </c>
      <c r="AW214" s="379">
        <f t="shared" si="159"/>
        <v>0</v>
      </c>
      <c r="AX214" s="379">
        <f t="shared" si="160"/>
        <v>0</v>
      </c>
      <c r="AY214" s="379">
        <f t="shared" si="161"/>
        <v>0</v>
      </c>
    </row>
    <row r="215" spans="1:51" x14ac:dyDescent="0.2">
      <c r="A215" s="376">
        <v>14850</v>
      </c>
      <c r="B215" s="378" t="str">
        <f t="shared" si="114"/>
        <v>Lismore (C)</v>
      </c>
      <c r="C215" s="377" t="str">
        <f t="shared" si="115"/>
        <v>NEWF</v>
      </c>
      <c r="D215" s="503" t="str">
        <f t="shared" si="116"/>
        <v>R</v>
      </c>
      <c r="E215" s="503"/>
      <c r="F215"/>
      <c r="G215" s="379">
        <f t="shared" si="117"/>
        <v>44993</v>
      </c>
      <c r="H215" s="379">
        <f t="shared" si="118"/>
        <v>16194</v>
      </c>
      <c r="I215" s="379">
        <f t="shared" si="119"/>
        <v>290</v>
      </c>
      <c r="J215" s="379" t="str">
        <f t="shared" si="120"/>
        <v>Y</v>
      </c>
      <c r="K215" s="379">
        <f t="shared" si="121"/>
        <v>14777</v>
      </c>
      <c r="L215" s="379">
        <f t="shared" si="122"/>
        <v>0</v>
      </c>
      <c r="M215" s="379">
        <f t="shared" si="123"/>
        <v>14777</v>
      </c>
      <c r="N215" s="379">
        <f t="shared" si="124"/>
        <v>0</v>
      </c>
      <c r="O215" s="379">
        <f t="shared" si="125"/>
        <v>12683</v>
      </c>
      <c r="P215" s="379">
        <f t="shared" si="126"/>
        <v>0</v>
      </c>
      <c r="Q215" s="379" t="str">
        <f t="shared" si="127"/>
        <v>Y</v>
      </c>
      <c r="R215" s="379" t="str">
        <f t="shared" si="128"/>
        <v>Nimbin Transfer Station</v>
      </c>
      <c r="S215" s="379" t="str">
        <f t="shared" si="129"/>
        <v>Brewster Street Drop Off Centre</v>
      </c>
      <c r="T215" s="379" t="str">
        <f t="shared" si="130"/>
        <v>Lismore Recycling and Recovery Centre</v>
      </c>
      <c r="U215" s="379">
        <f t="shared" si="131"/>
        <v>0</v>
      </c>
      <c r="V215" s="379">
        <f t="shared" si="132"/>
        <v>0</v>
      </c>
      <c r="W215" s="379">
        <f t="shared" si="133"/>
        <v>0</v>
      </c>
      <c r="X215" s="379">
        <f t="shared" si="134"/>
        <v>0</v>
      </c>
      <c r="Y215" s="379">
        <f t="shared" si="135"/>
        <v>0</v>
      </c>
      <c r="Z215" s="379">
        <f t="shared" si="136"/>
        <v>0</v>
      </c>
      <c r="AA215" s="379">
        <f t="shared" si="137"/>
        <v>0</v>
      </c>
      <c r="AB215" s="379">
        <f t="shared" si="138"/>
        <v>0</v>
      </c>
      <c r="AC215" s="379">
        <f t="shared" si="139"/>
        <v>0</v>
      </c>
      <c r="AD215" s="379">
        <f t="shared" si="140"/>
        <v>0</v>
      </c>
      <c r="AE215" s="379">
        <f t="shared" si="141"/>
        <v>0</v>
      </c>
      <c r="AF215" s="379">
        <f t="shared" si="142"/>
        <v>0</v>
      </c>
      <c r="AG215" s="379">
        <f t="shared" si="143"/>
        <v>0</v>
      </c>
      <c r="AH215" s="379">
        <f t="shared" si="144"/>
        <v>0</v>
      </c>
      <c r="AI215" s="379">
        <f t="shared" si="145"/>
        <v>0</v>
      </c>
      <c r="AJ215" s="379">
        <f t="shared" si="146"/>
        <v>0</v>
      </c>
      <c r="AK215" s="379">
        <f t="shared" si="147"/>
        <v>0</v>
      </c>
      <c r="AL215" s="379">
        <f t="shared" si="148"/>
        <v>0</v>
      </c>
      <c r="AM215" s="379">
        <f t="shared" si="149"/>
        <v>0</v>
      </c>
      <c r="AN215" s="490">
        <f t="shared" si="150"/>
        <v>0</v>
      </c>
      <c r="AO215" s="379">
        <f t="shared" si="151"/>
        <v>0</v>
      </c>
      <c r="AP215" s="379">
        <f t="shared" si="152"/>
        <v>0</v>
      </c>
      <c r="AQ215" s="379">
        <f t="shared" si="153"/>
        <v>0</v>
      </c>
      <c r="AR215" s="379">
        <f t="shared" si="154"/>
        <v>0</v>
      </c>
      <c r="AS215" s="379">
        <f t="shared" si="155"/>
        <v>0</v>
      </c>
      <c r="AT215" s="379">
        <f t="shared" si="156"/>
        <v>0</v>
      </c>
      <c r="AU215" s="379">
        <f t="shared" si="157"/>
        <v>0</v>
      </c>
      <c r="AV215" s="379">
        <f t="shared" si="158"/>
        <v>0</v>
      </c>
      <c r="AW215" s="379">
        <f t="shared" si="159"/>
        <v>0</v>
      </c>
      <c r="AX215" s="379">
        <f t="shared" si="160"/>
        <v>0</v>
      </c>
      <c r="AY215" s="379">
        <f t="shared" si="161"/>
        <v>0</v>
      </c>
    </row>
    <row r="216" spans="1:51" x14ac:dyDescent="0.2">
      <c r="A216" s="376">
        <v>15240</v>
      </c>
      <c r="B216" s="378" t="str">
        <f t="shared" si="114"/>
        <v>Mid-Coast (A)</v>
      </c>
      <c r="C216" s="377" t="str">
        <f t="shared" si="115"/>
        <v>MidWaste</v>
      </c>
      <c r="D216" s="503" t="str">
        <f t="shared" si="116"/>
        <v>R</v>
      </c>
      <c r="E216" s="503"/>
      <c r="F216"/>
      <c r="G216" s="379">
        <f t="shared" si="117"/>
        <v>91648</v>
      </c>
      <c r="H216" s="379">
        <f t="shared" si="118"/>
        <v>66726</v>
      </c>
      <c r="I216" s="379">
        <f t="shared" si="119"/>
        <v>436.33</v>
      </c>
      <c r="J216" s="379" t="str">
        <f t="shared" si="120"/>
        <v>Y</v>
      </c>
      <c r="K216" s="379">
        <f t="shared" si="121"/>
        <v>42879</v>
      </c>
      <c r="L216" s="379">
        <f t="shared" si="122"/>
        <v>0</v>
      </c>
      <c r="M216" s="379">
        <f t="shared" si="123"/>
        <v>43218</v>
      </c>
      <c r="N216" s="379">
        <f t="shared" si="124"/>
        <v>36156</v>
      </c>
      <c r="O216" s="379">
        <f t="shared" si="125"/>
        <v>0</v>
      </c>
      <c r="P216" s="379" t="str">
        <f t="shared" si="126"/>
        <v>Y</v>
      </c>
      <c r="Q216" s="379" t="str">
        <f t="shared" si="127"/>
        <v>Y</v>
      </c>
      <c r="R216" s="379" t="str">
        <f t="shared" si="128"/>
        <v>Bucketts Way Landfill</v>
      </c>
      <c r="S216" s="379" t="str">
        <f t="shared" si="129"/>
        <v>Gloucester Landfill</v>
      </c>
      <c r="T216" s="379" t="str">
        <f t="shared" si="130"/>
        <v>Tuncurry Waste Facility</v>
      </c>
      <c r="U216" s="379" t="str">
        <f t="shared" si="131"/>
        <v>Tea Gardens Transfer Station</v>
      </c>
      <c r="V216" s="379" t="str">
        <f t="shared" si="132"/>
        <v>Bulahdelah Transfer Station</v>
      </c>
      <c r="W216" s="379" t="str">
        <f t="shared" si="133"/>
        <v>Stroud Landfill</v>
      </c>
      <c r="X216" s="379">
        <f t="shared" si="134"/>
        <v>0</v>
      </c>
      <c r="Y216" s="379">
        <f t="shared" si="135"/>
        <v>0</v>
      </c>
      <c r="Z216" s="379">
        <f t="shared" si="136"/>
        <v>0</v>
      </c>
      <c r="AA216" s="379">
        <f t="shared" si="137"/>
        <v>0</v>
      </c>
      <c r="AB216" s="379">
        <f t="shared" si="138"/>
        <v>0</v>
      </c>
      <c r="AC216" s="379">
        <f t="shared" si="139"/>
        <v>0</v>
      </c>
      <c r="AD216" s="379">
        <f t="shared" si="140"/>
        <v>0</v>
      </c>
      <c r="AE216" s="379">
        <f t="shared" si="141"/>
        <v>0</v>
      </c>
      <c r="AF216" s="379">
        <f t="shared" si="142"/>
        <v>0</v>
      </c>
      <c r="AG216" s="379">
        <f t="shared" si="143"/>
        <v>0</v>
      </c>
      <c r="AH216" s="379">
        <f t="shared" si="144"/>
        <v>0</v>
      </c>
      <c r="AI216" s="379">
        <f t="shared" si="145"/>
        <v>0</v>
      </c>
      <c r="AJ216" s="379">
        <f t="shared" si="146"/>
        <v>0</v>
      </c>
      <c r="AK216" s="379">
        <f t="shared" si="147"/>
        <v>0</v>
      </c>
      <c r="AL216" s="379">
        <f t="shared" si="148"/>
        <v>0</v>
      </c>
      <c r="AM216" s="379">
        <f t="shared" si="149"/>
        <v>0</v>
      </c>
      <c r="AN216" s="490">
        <f t="shared" si="150"/>
        <v>0</v>
      </c>
      <c r="AO216" s="379">
        <f t="shared" si="151"/>
        <v>0</v>
      </c>
      <c r="AP216" s="379">
        <f t="shared" si="152"/>
        <v>0</v>
      </c>
      <c r="AQ216" s="379">
        <f t="shared" si="153"/>
        <v>0</v>
      </c>
      <c r="AR216" s="379">
        <f t="shared" si="154"/>
        <v>0</v>
      </c>
      <c r="AS216" s="379">
        <f t="shared" si="155"/>
        <v>0</v>
      </c>
      <c r="AT216" s="379">
        <f t="shared" si="156"/>
        <v>0</v>
      </c>
      <c r="AU216" s="379">
        <f t="shared" si="157"/>
        <v>0</v>
      </c>
      <c r="AV216" s="379">
        <f t="shared" si="158"/>
        <v>0</v>
      </c>
      <c r="AW216" s="379">
        <f t="shared" si="159"/>
        <v>0</v>
      </c>
      <c r="AX216" s="379">
        <f t="shared" si="160"/>
        <v>0</v>
      </c>
      <c r="AY216" s="379">
        <f t="shared" si="161"/>
        <v>0</v>
      </c>
    </row>
    <row r="217" spans="1:51" x14ac:dyDescent="0.2">
      <c r="A217" s="376">
        <v>15650</v>
      </c>
      <c r="B217" s="378" t="str">
        <f t="shared" si="114"/>
        <v>Muswellbrook (A)</v>
      </c>
      <c r="C217" s="377" t="str">
        <f t="shared" si="115"/>
        <v>Hunter</v>
      </c>
      <c r="D217" s="503" t="str">
        <f t="shared" si="116"/>
        <v>R</v>
      </c>
      <c r="E217" s="503"/>
      <c r="F217"/>
      <c r="G217" s="379">
        <f t="shared" si="117"/>
        <v>17414</v>
      </c>
      <c r="H217" s="379">
        <f t="shared" si="118"/>
        <v>7314</v>
      </c>
      <c r="I217" s="379">
        <f t="shared" si="119"/>
        <v>361</v>
      </c>
      <c r="J217" s="379" t="str">
        <f t="shared" si="120"/>
        <v>Y</v>
      </c>
      <c r="K217" s="379">
        <f t="shared" si="121"/>
        <v>6699</v>
      </c>
      <c r="L217" s="379">
        <f t="shared" si="122"/>
        <v>0</v>
      </c>
      <c r="M217" s="379">
        <f t="shared" si="123"/>
        <v>6578</v>
      </c>
      <c r="N217" s="379">
        <f t="shared" si="124"/>
        <v>6021</v>
      </c>
      <c r="O217" s="379">
        <f t="shared" si="125"/>
        <v>0</v>
      </c>
      <c r="P217" s="379" t="str">
        <f t="shared" si="126"/>
        <v>Y</v>
      </c>
      <c r="Q217" s="379" t="str">
        <f t="shared" si="127"/>
        <v>Y</v>
      </c>
      <c r="R217" s="379" t="str">
        <f t="shared" si="128"/>
        <v>Muswellbrook Waste &amp; Recycling Facility</v>
      </c>
      <c r="S217" s="379" t="str">
        <f t="shared" si="129"/>
        <v>Denman Transfer Station</v>
      </c>
      <c r="T217" s="379">
        <f t="shared" si="130"/>
        <v>0</v>
      </c>
      <c r="U217" s="379">
        <f t="shared" si="131"/>
        <v>0</v>
      </c>
      <c r="V217" s="379">
        <f t="shared" si="132"/>
        <v>0</v>
      </c>
      <c r="W217" s="379">
        <f t="shared" si="133"/>
        <v>0</v>
      </c>
      <c r="X217" s="379">
        <f t="shared" si="134"/>
        <v>0</v>
      </c>
      <c r="Y217" s="379">
        <f t="shared" si="135"/>
        <v>0</v>
      </c>
      <c r="Z217" s="379">
        <f t="shared" si="136"/>
        <v>0</v>
      </c>
      <c r="AA217" s="379">
        <f t="shared" si="137"/>
        <v>0</v>
      </c>
      <c r="AB217" s="379">
        <f t="shared" si="138"/>
        <v>0</v>
      </c>
      <c r="AC217" s="379">
        <f t="shared" si="139"/>
        <v>0</v>
      </c>
      <c r="AD217" s="379">
        <f t="shared" si="140"/>
        <v>0</v>
      </c>
      <c r="AE217" s="379">
        <f t="shared" si="141"/>
        <v>0</v>
      </c>
      <c r="AF217" s="379">
        <f t="shared" si="142"/>
        <v>0</v>
      </c>
      <c r="AG217" s="379">
        <f t="shared" si="143"/>
        <v>0</v>
      </c>
      <c r="AH217" s="379">
        <f t="shared" si="144"/>
        <v>0</v>
      </c>
      <c r="AI217" s="379">
        <f t="shared" si="145"/>
        <v>0</v>
      </c>
      <c r="AJ217" s="379">
        <f t="shared" si="146"/>
        <v>0</v>
      </c>
      <c r="AK217" s="379">
        <f t="shared" si="147"/>
        <v>0</v>
      </c>
      <c r="AL217" s="379">
        <f t="shared" si="148"/>
        <v>0</v>
      </c>
      <c r="AM217" s="379">
        <f t="shared" si="149"/>
        <v>0</v>
      </c>
      <c r="AN217" s="490">
        <f t="shared" si="150"/>
        <v>0</v>
      </c>
      <c r="AO217" s="379">
        <f t="shared" si="151"/>
        <v>0</v>
      </c>
      <c r="AP217" s="379">
        <f t="shared" si="152"/>
        <v>0</v>
      </c>
      <c r="AQ217" s="379">
        <f t="shared" si="153"/>
        <v>0</v>
      </c>
      <c r="AR217" s="379">
        <f t="shared" si="154"/>
        <v>0</v>
      </c>
      <c r="AS217" s="379">
        <f t="shared" si="155"/>
        <v>0</v>
      </c>
      <c r="AT217" s="379">
        <f t="shared" si="156"/>
        <v>0</v>
      </c>
      <c r="AU217" s="379">
        <f t="shared" si="157"/>
        <v>0</v>
      </c>
      <c r="AV217" s="379">
        <f t="shared" si="158"/>
        <v>0</v>
      </c>
      <c r="AW217" s="379">
        <f t="shared" si="159"/>
        <v>0</v>
      </c>
      <c r="AX217" s="379">
        <f t="shared" si="160"/>
        <v>0</v>
      </c>
      <c r="AY217" s="379">
        <f t="shared" si="161"/>
        <v>0</v>
      </c>
    </row>
    <row r="218" spans="1:51" x14ac:dyDescent="0.2">
      <c r="A218" s="376">
        <v>15700</v>
      </c>
      <c r="B218" s="378" t="str">
        <f t="shared" si="114"/>
        <v>Nambucca (A)</v>
      </c>
      <c r="C218" s="377" t="str">
        <f t="shared" si="115"/>
        <v>MidWaste</v>
      </c>
      <c r="D218" s="503" t="str">
        <f t="shared" si="116"/>
        <v>R</v>
      </c>
      <c r="E218" s="503"/>
      <c r="F218"/>
      <c r="G218" s="379">
        <f t="shared" si="117"/>
        <v>19808</v>
      </c>
      <c r="H218" s="379">
        <f t="shared" si="118"/>
        <v>8154</v>
      </c>
      <c r="I218" s="379">
        <f t="shared" si="119"/>
        <v>527</v>
      </c>
      <c r="J218" s="379" t="str">
        <f t="shared" si="120"/>
        <v>Y</v>
      </c>
      <c r="K218" s="379">
        <f t="shared" si="121"/>
        <v>7625</v>
      </c>
      <c r="L218" s="379" t="str">
        <f t="shared" si="122"/>
        <v>Y</v>
      </c>
      <c r="M218" s="379">
        <f t="shared" si="123"/>
        <v>7625</v>
      </c>
      <c r="N218" s="379">
        <f t="shared" si="124"/>
        <v>0</v>
      </c>
      <c r="O218" s="379">
        <f t="shared" si="125"/>
        <v>7625</v>
      </c>
      <c r="P218" s="379" t="str">
        <f t="shared" si="126"/>
        <v>Y</v>
      </c>
      <c r="Q218" s="379" t="str">
        <f t="shared" si="127"/>
        <v>Y</v>
      </c>
      <c r="R218" s="379" t="str">
        <f t="shared" si="128"/>
        <v>Nambucca Waste Facility</v>
      </c>
      <c r="S218" s="379">
        <f t="shared" si="129"/>
        <v>0</v>
      </c>
      <c r="T218" s="379">
        <f t="shared" si="130"/>
        <v>0</v>
      </c>
      <c r="U218" s="379">
        <f t="shared" si="131"/>
        <v>0</v>
      </c>
      <c r="V218" s="379">
        <f t="shared" si="132"/>
        <v>0</v>
      </c>
      <c r="W218" s="379">
        <f t="shared" si="133"/>
        <v>0</v>
      </c>
      <c r="X218" s="379">
        <f t="shared" si="134"/>
        <v>0</v>
      </c>
      <c r="Y218" s="379">
        <f t="shared" si="135"/>
        <v>0</v>
      </c>
      <c r="Z218" s="379">
        <f t="shared" si="136"/>
        <v>0</v>
      </c>
      <c r="AA218" s="379">
        <f t="shared" si="137"/>
        <v>0</v>
      </c>
      <c r="AB218" s="379">
        <f t="shared" si="138"/>
        <v>0</v>
      </c>
      <c r="AC218" s="379">
        <f t="shared" si="139"/>
        <v>0</v>
      </c>
      <c r="AD218" s="379">
        <f t="shared" si="140"/>
        <v>0</v>
      </c>
      <c r="AE218" s="379">
        <f t="shared" si="141"/>
        <v>0</v>
      </c>
      <c r="AF218" s="379">
        <f t="shared" si="142"/>
        <v>0</v>
      </c>
      <c r="AG218" s="379">
        <f t="shared" si="143"/>
        <v>0</v>
      </c>
      <c r="AH218" s="379">
        <f t="shared" si="144"/>
        <v>0</v>
      </c>
      <c r="AI218" s="379">
        <f t="shared" si="145"/>
        <v>0</v>
      </c>
      <c r="AJ218" s="379">
        <f t="shared" si="146"/>
        <v>0</v>
      </c>
      <c r="AK218" s="379">
        <f t="shared" si="147"/>
        <v>0</v>
      </c>
      <c r="AL218" s="379">
        <f t="shared" si="148"/>
        <v>0</v>
      </c>
      <c r="AM218" s="379">
        <f t="shared" si="149"/>
        <v>0</v>
      </c>
      <c r="AN218" s="490">
        <f t="shared" si="150"/>
        <v>0</v>
      </c>
      <c r="AO218" s="379">
        <f t="shared" si="151"/>
        <v>0</v>
      </c>
      <c r="AP218" s="379">
        <f t="shared" si="152"/>
        <v>0</v>
      </c>
      <c r="AQ218" s="379">
        <f t="shared" si="153"/>
        <v>0</v>
      </c>
      <c r="AR218" s="379">
        <f t="shared" si="154"/>
        <v>0</v>
      </c>
      <c r="AS218" s="379">
        <f t="shared" si="155"/>
        <v>0</v>
      </c>
      <c r="AT218" s="379">
        <f t="shared" si="156"/>
        <v>0</v>
      </c>
      <c r="AU218" s="379">
        <f t="shared" si="157"/>
        <v>0</v>
      </c>
      <c r="AV218" s="379">
        <f t="shared" si="158"/>
        <v>0</v>
      </c>
      <c r="AW218" s="379">
        <f t="shared" si="159"/>
        <v>0</v>
      </c>
      <c r="AX218" s="379">
        <f t="shared" si="160"/>
        <v>0</v>
      </c>
      <c r="AY218" s="379">
        <f t="shared" si="161"/>
        <v>0</v>
      </c>
    </row>
    <row r="219" spans="1:51" x14ac:dyDescent="0.2">
      <c r="A219" s="376">
        <v>16380</v>
      </c>
      <c r="B219" s="378" t="str">
        <f t="shared" si="114"/>
        <v>Port Macquarie-Hastings (A)</v>
      </c>
      <c r="C219" s="377" t="str">
        <f t="shared" si="115"/>
        <v>MidWaste</v>
      </c>
      <c r="D219" s="503" t="str">
        <f t="shared" si="116"/>
        <v>R</v>
      </c>
      <c r="E219" s="503"/>
      <c r="F219"/>
      <c r="G219" s="379">
        <f t="shared" si="117"/>
        <v>78967</v>
      </c>
      <c r="H219" s="379">
        <f t="shared" si="118"/>
        <v>34204</v>
      </c>
      <c r="I219" s="379">
        <f t="shared" si="119"/>
        <v>425</v>
      </c>
      <c r="J219" s="379" t="str">
        <f t="shared" si="120"/>
        <v>Y</v>
      </c>
      <c r="K219" s="379">
        <f t="shared" si="121"/>
        <v>29476</v>
      </c>
      <c r="L219" s="379">
        <f t="shared" si="122"/>
        <v>0</v>
      </c>
      <c r="M219" s="379">
        <f t="shared" si="123"/>
        <v>30095</v>
      </c>
      <c r="N219" s="379">
        <f t="shared" si="124"/>
        <v>0</v>
      </c>
      <c r="O219" s="379">
        <f t="shared" si="125"/>
        <v>28599</v>
      </c>
      <c r="P219" s="379" t="str">
        <f t="shared" si="126"/>
        <v>Y</v>
      </c>
      <c r="Q219" s="379" t="str">
        <f t="shared" si="127"/>
        <v>Y</v>
      </c>
      <c r="R219" s="379" t="str">
        <f t="shared" si="128"/>
        <v>Cairncross Waste Management Facility</v>
      </c>
      <c r="S219" s="379" t="str">
        <f t="shared" si="129"/>
        <v>Port Macquarie Waste Management Facility (transfer station)</v>
      </c>
      <c r="T219" s="379" t="str">
        <f t="shared" si="130"/>
        <v>Wauchope Transfer station</v>
      </c>
      <c r="U219" s="379" t="str">
        <f t="shared" si="131"/>
        <v>Kew Transfer station</v>
      </c>
      <c r="V219" s="379" t="str">
        <f t="shared" si="132"/>
        <v>Dunbogan Landfill</v>
      </c>
      <c r="W219" s="379" t="str">
        <f t="shared" si="133"/>
        <v>Comboyne drop off</v>
      </c>
      <c r="X219" s="379">
        <f t="shared" si="134"/>
        <v>0</v>
      </c>
      <c r="Y219" s="379">
        <f t="shared" si="135"/>
        <v>0</v>
      </c>
      <c r="Z219" s="379">
        <f t="shared" si="136"/>
        <v>0</v>
      </c>
      <c r="AA219" s="379">
        <f t="shared" si="137"/>
        <v>0</v>
      </c>
      <c r="AB219" s="379">
        <f t="shared" si="138"/>
        <v>0</v>
      </c>
      <c r="AC219" s="379">
        <f t="shared" si="139"/>
        <v>0</v>
      </c>
      <c r="AD219" s="379">
        <f t="shared" si="140"/>
        <v>0</v>
      </c>
      <c r="AE219" s="379">
        <f t="shared" si="141"/>
        <v>0</v>
      </c>
      <c r="AF219" s="379">
        <f t="shared" si="142"/>
        <v>0</v>
      </c>
      <c r="AG219" s="379">
        <f t="shared" si="143"/>
        <v>0</v>
      </c>
      <c r="AH219" s="379">
        <f t="shared" si="144"/>
        <v>0</v>
      </c>
      <c r="AI219" s="379">
        <f t="shared" si="145"/>
        <v>0</v>
      </c>
      <c r="AJ219" s="379">
        <f t="shared" si="146"/>
        <v>0</v>
      </c>
      <c r="AK219" s="379">
        <f t="shared" si="147"/>
        <v>0</v>
      </c>
      <c r="AL219" s="379">
        <f t="shared" si="148"/>
        <v>0</v>
      </c>
      <c r="AM219" s="379">
        <f t="shared" si="149"/>
        <v>0</v>
      </c>
      <c r="AN219" s="490">
        <f t="shared" si="150"/>
        <v>0</v>
      </c>
      <c r="AO219" s="379">
        <f t="shared" si="151"/>
        <v>0</v>
      </c>
      <c r="AP219" s="379">
        <f t="shared" si="152"/>
        <v>0</v>
      </c>
      <c r="AQ219" s="379">
        <f t="shared" si="153"/>
        <v>0</v>
      </c>
      <c r="AR219" s="379">
        <f t="shared" si="154"/>
        <v>0</v>
      </c>
      <c r="AS219" s="379">
        <f t="shared" si="155"/>
        <v>0</v>
      </c>
      <c r="AT219" s="379">
        <f t="shared" si="156"/>
        <v>0</v>
      </c>
      <c r="AU219" s="379">
        <f t="shared" si="157"/>
        <v>0</v>
      </c>
      <c r="AV219" s="379">
        <f t="shared" si="158"/>
        <v>0</v>
      </c>
      <c r="AW219" s="379">
        <f t="shared" si="159"/>
        <v>0</v>
      </c>
      <c r="AX219" s="379">
        <f t="shared" si="160"/>
        <v>0</v>
      </c>
      <c r="AY219" s="379">
        <f t="shared" si="161"/>
        <v>0</v>
      </c>
    </row>
    <row r="220" spans="1:51" x14ac:dyDescent="0.2">
      <c r="A220" s="376">
        <v>16610</v>
      </c>
      <c r="B220" s="378" t="str">
        <f t="shared" si="114"/>
        <v>Richmond Valley (A)</v>
      </c>
      <c r="C220" s="377" t="str">
        <f t="shared" si="115"/>
        <v>NEWF</v>
      </c>
      <c r="D220" s="503" t="str">
        <f t="shared" si="116"/>
        <v>R</v>
      </c>
      <c r="E220" s="503"/>
      <c r="F220"/>
      <c r="G220" s="379">
        <f t="shared" si="117"/>
        <v>23426</v>
      </c>
      <c r="H220" s="379">
        <f t="shared" si="118"/>
        <v>9892</v>
      </c>
      <c r="I220" s="379">
        <f t="shared" si="119"/>
        <v>425</v>
      </c>
      <c r="J220" s="379" t="str">
        <f t="shared" si="120"/>
        <v>Y</v>
      </c>
      <c r="K220" s="379">
        <f t="shared" si="121"/>
        <v>7471</v>
      </c>
      <c r="L220" s="379">
        <f t="shared" si="122"/>
        <v>0</v>
      </c>
      <c r="M220" s="379">
        <f t="shared" si="123"/>
        <v>7482</v>
      </c>
      <c r="N220" s="379">
        <f t="shared" si="124"/>
        <v>0</v>
      </c>
      <c r="O220" s="379">
        <f t="shared" si="125"/>
        <v>7465</v>
      </c>
      <c r="P220" s="379" t="str">
        <f t="shared" si="126"/>
        <v>Y</v>
      </c>
      <c r="Q220" s="379" t="str">
        <f t="shared" si="127"/>
        <v>Y</v>
      </c>
      <c r="R220" s="379" t="str">
        <f t="shared" si="128"/>
        <v>Nammoona Waste Facility</v>
      </c>
      <c r="S220" s="379" t="str">
        <f t="shared" si="129"/>
        <v>Evans Head Transfer Station</v>
      </c>
      <c r="T220" s="379" t="str">
        <f t="shared" si="130"/>
        <v>Bora Ridge Transfer Station</v>
      </c>
      <c r="U220" s="379" t="str">
        <f t="shared" si="131"/>
        <v>Rappville Transfer Station</v>
      </c>
      <c r="V220" s="379">
        <f t="shared" si="132"/>
        <v>0</v>
      </c>
      <c r="W220" s="379">
        <f t="shared" si="133"/>
        <v>0</v>
      </c>
      <c r="X220" s="379">
        <f t="shared" si="134"/>
        <v>0</v>
      </c>
      <c r="Y220" s="379">
        <f t="shared" si="135"/>
        <v>0</v>
      </c>
      <c r="Z220" s="379">
        <f t="shared" si="136"/>
        <v>0</v>
      </c>
      <c r="AA220" s="379">
        <f t="shared" si="137"/>
        <v>0</v>
      </c>
      <c r="AB220" s="379">
        <f t="shared" si="138"/>
        <v>0</v>
      </c>
      <c r="AC220" s="379">
        <f t="shared" si="139"/>
        <v>0</v>
      </c>
      <c r="AD220" s="379">
        <f t="shared" si="140"/>
        <v>0</v>
      </c>
      <c r="AE220" s="379">
        <f t="shared" si="141"/>
        <v>0</v>
      </c>
      <c r="AF220" s="379">
        <f t="shared" si="142"/>
        <v>0</v>
      </c>
      <c r="AG220" s="379">
        <f t="shared" si="143"/>
        <v>0</v>
      </c>
      <c r="AH220" s="379">
        <f t="shared" si="144"/>
        <v>0</v>
      </c>
      <c r="AI220" s="379">
        <f t="shared" si="145"/>
        <v>0</v>
      </c>
      <c r="AJ220" s="379">
        <f t="shared" si="146"/>
        <v>0</v>
      </c>
      <c r="AK220" s="379">
        <f t="shared" si="147"/>
        <v>0</v>
      </c>
      <c r="AL220" s="379">
        <f t="shared" si="148"/>
        <v>0</v>
      </c>
      <c r="AM220" s="379">
        <f t="shared" si="149"/>
        <v>0</v>
      </c>
      <c r="AN220" s="490">
        <f t="shared" si="150"/>
        <v>0</v>
      </c>
      <c r="AO220" s="379">
        <f t="shared" si="151"/>
        <v>0</v>
      </c>
      <c r="AP220" s="379">
        <f t="shared" si="152"/>
        <v>0</v>
      </c>
      <c r="AQ220" s="379">
        <f t="shared" si="153"/>
        <v>0</v>
      </c>
      <c r="AR220" s="379">
        <f t="shared" si="154"/>
        <v>0</v>
      </c>
      <c r="AS220" s="379">
        <f t="shared" si="155"/>
        <v>0</v>
      </c>
      <c r="AT220" s="379">
        <f t="shared" si="156"/>
        <v>0</v>
      </c>
      <c r="AU220" s="379">
        <f t="shared" si="157"/>
        <v>0</v>
      </c>
      <c r="AV220" s="379">
        <f t="shared" si="158"/>
        <v>0</v>
      </c>
      <c r="AW220" s="379">
        <f t="shared" si="159"/>
        <v>0</v>
      </c>
      <c r="AX220" s="379">
        <f t="shared" si="160"/>
        <v>0</v>
      </c>
      <c r="AY220" s="379">
        <f t="shared" si="161"/>
        <v>0</v>
      </c>
    </row>
    <row r="221" spans="1:51" x14ac:dyDescent="0.2">
      <c r="A221" s="376">
        <v>17000</v>
      </c>
      <c r="B221" s="378" t="str">
        <f t="shared" si="114"/>
        <v>Singleton (A)</v>
      </c>
      <c r="C221" s="377" t="str">
        <f t="shared" si="115"/>
        <v>Hunter</v>
      </c>
      <c r="D221" s="503" t="str">
        <f t="shared" si="116"/>
        <v>R</v>
      </c>
      <c r="E221" s="503"/>
      <c r="F221"/>
      <c r="G221" s="379">
        <f t="shared" si="117"/>
        <v>24061</v>
      </c>
      <c r="H221" s="379">
        <f t="shared" si="118"/>
        <v>8082</v>
      </c>
      <c r="I221" s="379">
        <f t="shared" si="119"/>
        <v>460</v>
      </c>
      <c r="J221" s="379" t="str">
        <f t="shared" si="120"/>
        <v>Y</v>
      </c>
      <c r="K221" s="379">
        <f t="shared" si="121"/>
        <v>9003</v>
      </c>
      <c r="L221" s="379">
        <f t="shared" si="122"/>
        <v>0</v>
      </c>
      <c r="M221" s="379">
        <f t="shared" si="123"/>
        <v>8985</v>
      </c>
      <c r="N221" s="379">
        <f t="shared" si="124"/>
        <v>7182</v>
      </c>
      <c r="O221" s="379">
        <f t="shared" si="125"/>
        <v>0</v>
      </c>
      <c r="P221" s="379" t="str">
        <f t="shared" si="126"/>
        <v>Y</v>
      </c>
      <c r="Q221" s="379" t="str">
        <f t="shared" si="127"/>
        <v>Y</v>
      </c>
      <c r="R221" s="379" t="str">
        <f t="shared" si="128"/>
        <v>Singleton Waste Management Facility</v>
      </c>
      <c r="S221" s="379">
        <f t="shared" si="129"/>
        <v>0</v>
      </c>
      <c r="T221" s="379">
        <f t="shared" si="130"/>
        <v>0</v>
      </c>
      <c r="U221" s="379">
        <f t="shared" si="131"/>
        <v>0</v>
      </c>
      <c r="V221" s="379">
        <f t="shared" si="132"/>
        <v>0</v>
      </c>
      <c r="W221" s="379">
        <f t="shared" si="133"/>
        <v>0</v>
      </c>
      <c r="X221" s="379">
        <f t="shared" si="134"/>
        <v>0</v>
      </c>
      <c r="Y221" s="379">
        <f t="shared" si="135"/>
        <v>0</v>
      </c>
      <c r="Z221" s="379">
        <f t="shared" si="136"/>
        <v>0</v>
      </c>
      <c r="AA221" s="379">
        <f t="shared" si="137"/>
        <v>0</v>
      </c>
      <c r="AB221" s="379">
        <f t="shared" si="138"/>
        <v>0</v>
      </c>
      <c r="AC221" s="379">
        <f t="shared" si="139"/>
        <v>0</v>
      </c>
      <c r="AD221" s="379">
        <f t="shared" si="140"/>
        <v>0</v>
      </c>
      <c r="AE221" s="379">
        <f t="shared" si="141"/>
        <v>0</v>
      </c>
      <c r="AF221" s="379">
        <f t="shared" si="142"/>
        <v>0</v>
      </c>
      <c r="AG221" s="379">
        <f t="shared" si="143"/>
        <v>0</v>
      </c>
      <c r="AH221" s="379">
        <f t="shared" si="144"/>
        <v>0</v>
      </c>
      <c r="AI221" s="379">
        <f t="shared" si="145"/>
        <v>0</v>
      </c>
      <c r="AJ221" s="379">
        <f t="shared" si="146"/>
        <v>0</v>
      </c>
      <c r="AK221" s="379">
        <f t="shared" si="147"/>
        <v>0</v>
      </c>
      <c r="AL221" s="379">
        <f t="shared" si="148"/>
        <v>0</v>
      </c>
      <c r="AM221" s="379">
        <f t="shared" si="149"/>
        <v>0</v>
      </c>
      <c r="AN221" s="490">
        <f t="shared" si="150"/>
        <v>0</v>
      </c>
      <c r="AO221" s="379">
        <f t="shared" si="151"/>
        <v>0</v>
      </c>
      <c r="AP221" s="379">
        <f t="shared" si="152"/>
        <v>0</v>
      </c>
      <c r="AQ221" s="379">
        <f t="shared" si="153"/>
        <v>0</v>
      </c>
      <c r="AR221" s="379">
        <f t="shared" si="154"/>
        <v>0</v>
      </c>
      <c r="AS221" s="379">
        <f t="shared" si="155"/>
        <v>0</v>
      </c>
      <c r="AT221" s="379">
        <f t="shared" si="156"/>
        <v>0</v>
      </c>
      <c r="AU221" s="379">
        <f t="shared" si="157"/>
        <v>0</v>
      </c>
      <c r="AV221" s="379">
        <f t="shared" si="158"/>
        <v>0</v>
      </c>
      <c r="AW221" s="379">
        <f t="shared" si="159"/>
        <v>0</v>
      </c>
      <c r="AX221" s="379">
        <f t="shared" si="160"/>
        <v>0</v>
      </c>
      <c r="AY221" s="379">
        <f t="shared" si="161"/>
        <v>0</v>
      </c>
    </row>
    <row r="222" spans="1:51" x14ac:dyDescent="0.2">
      <c r="A222" s="376">
        <v>17550</v>
      </c>
      <c r="B222" s="378" t="str">
        <f t="shared" si="114"/>
        <v>Tweed (A)</v>
      </c>
      <c r="C222" s="377" t="str">
        <f t="shared" si="115"/>
        <v>NEWF</v>
      </c>
      <c r="D222" s="503" t="str">
        <f t="shared" si="116"/>
        <v>R</v>
      </c>
      <c r="E222" s="503"/>
      <c r="F222"/>
      <c r="G222" s="379">
        <f t="shared" si="117"/>
        <v>94011</v>
      </c>
      <c r="H222" s="379">
        <f t="shared" si="118"/>
        <v>36870</v>
      </c>
      <c r="I222" s="379">
        <f t="shared" si="119"/>
        <v>440.3</v>
      </c>
      <c r="J222" s="379" t="str">
        <f t="shared" si="120"/>
        <v>Y</v>
      </c>
      <c r="K222" s="379">
        <f t="shared" si="121"/>
        <v>34468</v>
      </c>
      <c r="L222" s="379">
        <f t="shared" si="122"/>
        <v>0</v>
      </c>
      <c r="M222" s="379">
        <f t="shared" si="123"/>
        <v>36242</v>
      </c>
      <c r="N222" s="379">
        <f t="shared" si="124"/>
        <v>17996</v>
      </c>
      <c r="O222" s="379">
        <f t="shared" si="125"/>
        <v>0</v>
      </c>
      <c r="P222" s="379" t="str">
        <f t="shared" si="126"/>
        <v>Y</v>
      </c>
      <c r="Q222" s="379" t="str">
        <f t="shared" si="127"/>
        <v>Y</v>
      </c>
      <c r="R222" s="379" t="str">
        <f t="shared" si="128"/>
        <v>Stotts Creek Resource Recovery Centre</v>
      </c>
      <c r="S222" s="379">
        <f t="shared" si="129"/>
        <v>0</v>
      </c>
      <c r="T222" s="379">
        <f t="shared" si="130"/>
        <v>0</v>
      </c>
      <c r="U222" s="379">
        <f t="shared" si="131"/>
        <v>0</v>
      </c>
      <c r="V222" s="379">
        <f t="shared" si="132"/>
        <v>0</v>
      </c>
      <c r="W222" s="379">
        <f t="shared" si="133"/>
        <v>0</v>
      </c>
      <c r="X222" s="379">
        <f t="shared" si="134"/>
        <v>0</v>
      </c>
      <c r="Y222" s="379">
        <f t="shared" si="135"/>
        <v>0</v>
      </c>
      <c r="Z222" s="379">
        <f t="shared" si="136"/>
        <v>0</v>
      </c>
      <c r="AA222" s="379">
        <f t="shared" si="137"/>
        <v>0</v>
      </c>
      <c r="AB222" s="379">
        <f t="shared" si="138"/>
        <v>0</v>
      </c>
      <c r="AC222" s="379">
        <f t="shared" si="139"/>
        <v>0</v>
      </c>
      <c r="AD222" s="379">
        <f t="shared" si="140"/>
        <v>0</v>
      </c>
      <c r="AE222" s="379">
        <f t="shared" si="141"/>
        <v>0</v>
      </c>
      <c r="AF222" s="379">
        <f t="shared" si="142"/>
        <v>0</v>
      </c>
      <c r="AG222" s="379">
        <f t="shared" si="143"/>
        <v>0</v>
      </c>
      <c r="AH222" s="379">
        <f t="shared" si="144"/>
        <v>0</v>
      </c>
      <c r="AI222" s="379">
        <f t="shared" si="145"/>
        <v>0</v>
      </c>
      <c r="AJ222" s="379">
        <f t="shared" si="146"/>
        <v>0</v>
      </c>
      <c r="AK222" s="379">
        <f t="shared" si="147"/>
        <v>0</v>
      </c>
      <c r="AL222" s="379">
        <f t="shared" si="148"/>
        <v>0</v>
      </c>
      <c r="AM222" s="379">
        <f t="shared" si="149"/>
        <v>0</v>
      </c>
      <c r="AN222" s="490">
        <f t="shared" si="150"/>
        <v>0</v>
      </c>
      <c r="AO222" s="379">
        <f t="shared" si="151"/>
        <v>0</v>
      </c>
      <c r="AP222" s="379">
        <f t="shared" si="152"/>
        <v>0</v>
      </c>
      <c r="AQ222" s="379">
        <f t="shared" si="153"/>
        <v>0</v>
      </c>
      <c r="AR222" s="379">
        <f t="shared" si="154"/>
        <v>0</v>
      </c>
      <c r="AS222" s="379">
        <f t="shared" si="155"/>
        <v>0</v>
      </c>
      <c r="AT222" s="379">
        <f t="shared" si="156"/>
        <v>0</v>
      </c>
      <c r="AU222" s="379">
        <f t="shared" si="157"/>
        <v>0</v>
      </c>
      <c r="AV222" s="379">
        <f t="shared" si="158"/>
        <v>0</v>
      </c>
      <c r="AW222" s="379">
        <f t="shared" si="159"/>
        <v>0</v>
      </c>
      <c r="AX222" s="379">
        <f t="shared" si="160"/>
        <v>0</v>
      </c>
      <c r="AY222" s="379">
        <f t="shared" si="161"/>
        <v>0</v>
      </c>
    </row>
    <row r="223" spans="1:51" x14ac:dyDescent="0.2">
      <c r="A223" s="376">
        <v>17620</v>
      </c>
      <c r="B223" s="378" t="str">
        <f t="shared" si="114"/>
        <v>Upper Hunter Shire (A)</v>
      </c>
      <c r="C223" s="377" t="str">
        <f t="shared" si="115"/>
        <v>Hunter</v>
      </c>
      <c r="D223" s="503" t="str">
        <f t="shared" si="116"/>
        <v>R</v>
      </c>
      <c r="E223" s="503"/>
      <c r="F223"/>
      <c r="G223" s="379">
        <f t="shared" si="117"/>
        <v>14522</v>
      </c>
      <c r="H223" s="379">
        <f t="shared" si="118"/>
        <v>4401</v>
      </c>
      <c r="I223" s="379">
        <f t="shared" si="119"/>
        <v>430.6</v>
      </c>
      <c r="J223" s="379" t="str">
        <f t="shared" si="120"/>
        <v>Y</v>
      </c>
      <c r="K223" s="379">
        <f t="shared" si="121"/>
        <v>4707</v>
      </c>
      <c r="L223" s="379">
        <f t="shared" si="122"/>
        <v>0</v>
      </c>
      <c r="M223" s="379">
        <f t="shared" si="123"/>
        <v>4707</v>
      </c>
      <c r="N223" s="379">
        <f t="shared" si="124"/>
        <v>0</v>
      </c>
      <c r="O223" s="379">
        <f t="shared" si="125"/>
        <v>0</v>
      </c>
      <c r="P223" s="379" t="str">
        <f t="shared" si="126"/>
        <v>Y</v>
      </c>
      <c r="Q223" s="379" t="str">
        <f t="shared" si="127"/>
        <v>Y</v>
      </c>
      <c r="R223" s="379" t="str">
        <f t="shared" si="128"/>
        <v>Scone</v>
      </c>
      <c r="S223" s="379" t="str">
        <f t="shared" si="129"/>
        <v>Aberdeen</v>
      </c>
      <c r="T223" s="379" t="str">
        <f t="shared" si="130"/>
        <v>Murrurundi</v>
      </c>
      <c r="U223" s="379" t="str">
        <f t="shared" si="131"/>
        <v>Merriwa</v>
      </c>
      <c r="V223" s="379">
        <f t="shared" si="132"/>
        <v>0</v>
      </c>
      <c r="W223" s="379">
        <f t="shared" si="133"/>
        <v>0</v>
      </c>
      <c r="X223" s="379">
        <f t="shared" si="134"/>
        <v>0</v>
      </c>
      <c r="Y223" s="379">
        <f t="shared" si="135"/>
        <v>0</v>
      </c>
      <c r="Z223" s="379">
        <f t="shared" si="136"/>
        <v>0</v>
      </c>
      <c r="AA223" s="379">
        <f t="shared" si="137"/>
        <v>0</v>
      </c>
      <c r="AB223" s="379">
        <f t="shared" si="138"/>
        <v>0</v>
      </c>
      <c r="AC223" s="379">
        <f t="shared" si="139"/>
        <v>0</v>
      </c>
      <c r="AD223" s="379">
        <f t="shared" si="140"/>
        <v>0</v>
      </c>
      <c r="AE223" s="379">
        <f t="shared" si="141"/>
        <v>0</v>
      </c>
      <c r="AF223" s="379">
        <f t="shared" si="142"/>
        <v>0</v>
      </c>
      <c r="AG223" s="379">
        <f t="shared" si="143"/>
        <v>0</v>
      </c>
      <c r="AH223" s="379">
        <f t="shared" si="144"/>
        <v>0</v>
      </c>
      <c r="AI223" s="379">
        <f t="shared" si="145"/>
        <v>0</v>
      </c>
      <c r="AJ223" s="379">
        <f t="shared" si="146"/>
        <v>0</v>
      </c>
      <c r="AK223" s="379">
        <f t="shared" si="147"/>
        <v>0</v>
      </c>
      <c r="AL223" s="379">
        <f t="shared" si="148"/>
        <v>0</v>
      </c>
      <c r="AM223" s="379">
        <f t="shared" si="149"/>
        <v>0</v>
      </c>
      <c r="AN223" s="490">
        <f t="shared" si="150"/>
        <v>0</v>
      </c>
      <c r="AO223" s="379">
        <f t="shared" si="151"/>
        <v>0</v>
      </c>
      <c r="AP223" s="379">
        <f t="shared" si="152"/>
        <v>0</v>
      </c>
      <c r="AQ223" s="379">
        <f t="shared" si="153"/>
        <v>0</v>
      </c>
      <c r="AR223" s="379">
        <f t="shared" si="154"/>
        <v>0</v>
      </c>
      <c r="AS223" s="379">
        <f t="shared" si="155"/>
        <v>0</v>
      </c>
      <c r="AT223" s="379">
        <f t="shared" si="156"/>
        <v>0</v>
      </c>
      <c r="AU223" s="379">
        <f t="shared" si="157"/>
        <v>0</v>
      </c>
      <c r="AV223" s="379">
        <f t="shared" si="158"/>
        <v>0</v>
      </c>
      <c r="AW223" s="379">
        <f t="shared" si="159"/>
        <v>0</v>
      </c>
      <c r="AX223" s="379">
        <f t="shared" si="160"/>
        <v>0</v>
      </c>
      <c r="AY223" s="379">
        <f t="shared" si="161"/>
        <v>0</v>
      </c>
    </row>
    <row r="224" spans="1:51" ht="13.5" thickBot="1" x14ac:dyDescent="0.25">
      <c r="A224" s="376">
        <v>18400</v>
      </c>
      <c r="B224" s="378" t="str">
        <f t="shared" si="114"/>
        <v>Wollondilly (A)</v>
      </c>
      <c r="C224" s="377" t="str">
        <f t="shared" si="115"/>
        <v>MACROC</v>
      </c>
      <c r="D224" s="503" t="str">
        <f t="shared" si="116"/>
        <v>R</v>
      </c>
      <c r="E224" s="503"/>
      <c r="F224"/>
      <c r="G224" s="379">
        <f t="shared" si="117"/>
        <v>49109</v>
      </c>
      <c r="H224" s="379">
        <f t="shared" si="118"/>
        <v>16957</v>
      </c>
      <c r="I224" s="379">
        <f t="shared" si="119"/>
        <v>513</v>
      </c>
      <c r="J224" s="379" t="str">
        <f t="shared" si="120"/>
        <v>Y</v>
      </c>
      <c r="K224" s="379">
        <f t="shared" si="121"/>
        <v>17219</v>
      </c>
      <c r="L224" s="379">
        <f t="shared" si="122"/>
        <v>0</v>
      </c>
      <c r="M224" s="379">
        <f t="shared" si="123"/>
        <v>17056</v>
      </c>
      <c r="N224" s="379">
        <f t="shared" si="124"/>
        <v>11869</v>
      </c>
      <c r="O224" s="379">
        <f t="shared" si="125"/>
        <v>0</v>
      </c>
      <c r="P224" s="379" t="str">
        <f t="shared" si="126"/>
        <v>Y</v>
      </c>
      <c r="Q224" s="379" t="str">
        <f t="shared" si="127"/>
        <v>Y</v>
      </c>
      <c r="R224" s="379" t="str">
        <f t="shared" si="128"/>
        <v>Bargo Waste Management Centre</v>
      </c>
      <c r="S224" s="379">
        <f t="shared" si="129"/>
        <v>0</v>
      </c>
      <c r="T224" s="379">
        <f t="shared" si="130"/>
        <v>0</v>
      </c>
      <c r="U224" s="379">
        <f t="shared" si="131"/>
        <v>0</v>
      </c>
      <c r="V224" s="379">
        <f t="shared" si="132"/>
        <v>0</v>
      </c>
      <c r="W224" s="379">
        <f t="shared" si="133"/>
        <v>0</v>
      </c>
      <c r="X224" s="379">
        <f t="shared" si="134"/>
        <v>0</v>
      </c>
      <c r="Y224" s="379">
        <f t="shared" si="135"/>
        <v>0</v>
      </c>
      <c r="Z224" s="379">
        <f t="shared" si="136"/>
        <v>0</v>
      </c>
      <c r="AA224" s="379">
        <f t="shared" si="137"/>
        <v>0</v>
      </c>
      <c r="AB224" s="379">
        <f t="shared" si="138"/>
        <v>0</v>
      </c>
      <c r="AC224" s="379">
        <f t="shared" si="139"/>
        <v>0</v>
      </c>
      <c r="AD224" s="379">
        <f t="shared" si="140"/>
        <v>0</v>
      </c>
      <c r="AE224" s="379">
        <f t="shared" si="141"/>
        <v>0</v>
      </c>
      <c r="AF224" s="379">
        <f t="shared" si="142"/>
        <v>0</v>
      </c>
      <c r="AG224" s="379">
        <f t="shared" si="143"/>
        <v>0</v>
      </c>
      <c r="AH224" s="379">
        <f t="shared" si="144"/>
        <v>0</v>
      </c>
      <c r="AI224" s="379">
        <f t="shared" si="145"/>
        <v>0</v>
      </c>
      <c r="AJ224" s="379">
        <f t="shared" si="146"/>
        <v>0</v>
      </c>
      <c r="AK224" s="379">
        <f t="shared" si="147"/>
        <v>0</v>
      </c>
      <c r="AL224" s="379">
        <f t="shared" si="148"/>
        <v>0</v>
      </c>
      <c r="AM224" s="379">
        <f t="shared" si="149"/>
        <v>0</v>
      </c>
      <c r="AN224" s="490">
        <f t="shared" si="150"/>
        <v>0</v>
      </c>
      <c r="AO224" s="379">
        <f t="shared" si="151"/>
        <v>0</v>
      </c>
      <c r="AP224" s="379">
        <f t="shared" si="152"/>
        <v>0</v>
      </c>
      <c r="AQ224" s="379">
        <f t="shared" si="153"/>
        <v>0</v>
      </c>
      <c r="AR224" s="379">
        <f t="shared" si="154"/>
        <v>0</v>
      </c>
      <c r="AS224" s="379">
        <f t="shared" si="155"/>
        <v>0</v>
      </c>
      <c r="AT224" s="379">
        <f t="shared" si="156"/>
        <v>0</v>
      </c>
      <c r="AU224" s="379">
        <f t="shared" si="157"/>
        <v>0</v>
      </c>
      <c r="AV224" s="379">
        <f t="shared" si="158"/>
        <v>0</v>
      </c>
      <c r="AW224" s="379">
        <f t="shared" si="159"/>
        <v>0</v>
      </c>
      <c r="AX224" s="379">
        <f t="shared" si="160"/>
        <v>0</v>
      </c>
      <c r="AY224" s="379">
        <f t="shared" si="161"/>
        <v>0</v>
      </c>
    </row>
    <row r="225" spans="1:51" ht="13.5" thickTop="1" x14ac:dyDescent="0.2">
      <c r="A225" s="380"/>
      <c r="B225" s="380"/>
      <c r="C225" s="380" t="s">
        <v>264</v>
      </c>
      <c r="D225" s="380"/>
      <c r="E225" s="484"/>
      <c r="F225" s="381"/>
      <c r="G225" s="382">
        <f t="shared" ref="G225:AY225" si="162">COUNTIF(G206:G224,"&gt;0")</f>
        <v>19</v>
      </c>
      <c r="H225" s="382">
        <f t="shared" si="162"/>
        <v>19</v>
      </c>
      <c r="I225" s="382">
        <f t="shared" si="162"/>
        <v>19</v>
      </c>
      <c r="J225" s="382">
        <f t="shared" si="162"/>
        <v>0</v>
      </c>
      <c r="K225" s="382">
        <f t="shared" si="162"/>
        <v>19</v>
      </c>
      <c r="L225" s="382">
        <f t="shared" si="162"/>
        <v>0</v>
      </c>
      <c r="M225" s="382">
        <f t="shared" si="162"/>
        <v>19</v>
      </c>
      <c r="N225" s="382">
        <f t="shared" si="162"/>
        <v>6</v>
      </c>
      <c r="O225" s="382">
        <f t="shared" si="162"/>
        <v>10</v>
      </c>
      <c r="P225" s="382">
        <f t="shared" si="162"/>
        <v>0</v>
      </c>
      <c r="Q225" s="382">
        <f t="shared" si="162"/>
        <v>0</v>
      </c>
      <c r="R225" s="382">
        <f t="shared" si="162"/>
        <v>0</v>
      </c>
      <c r="S225" s="382">
        <f t="shared" si="162"/>
        <v>0</v>
      </c>
      <c r="T225" s="382">
        <f t="shared" si="162"/>
        <v>0</v>
      </c>
      <c r="U225" s="382">
        <f t="shared" si="162"/>
        <v>0</v>
      </c>
      <c r="V225" s="382">
        <f t="shared" si="162"/>
        <v>0</v>
      </c>
      <c r="W225" s="382">
        <f t="shared" si="162"/>
        <v>0</v>
      </c>
      <c r="X225" s="382">
        <f t="shared" si="162"/>
        <v>0</v>
      </c>
      <c r="Y225" s="382">
        <f t="shared" si="162"/>
        <v>0</v>
      </c>
      <c r="Z225" s="382">
        <f t="shared" si="162"/>
        <v>0</v>
      </c>
      <c r="AA225" s="382">
        <f t="shared" si="162"/>
        <v>0</v>
      </c>
      <c r="AB225" s="382">
        <f t="shared" si="162"/>
        <v>0</v>
      </c>
      <c r="AC225" s="382">
        <f t="shared" si="162"/>
        <v>0</v>
      </c>
      <c r="AD225" s="382">
        <f t="shared" si="162"/>
        <v>0</v>
      </c>
      <c r="AE225" s="382">
        <f t="shared" si="162"/>
        <v>0</v>
      </c>
      <c r="AF225" s="382">
        <f t="shared" si="162"/>
        <v>0</v>
      </c>
      <c r="AG225" s="382">
        <f t="shared" si="162"/>
        <v>0</v>
      </c>
      <c r="AH225" s="382">
        <f t="shared" si="162"/>
        <v>0</v>
      </c>
      <c r="AI225" s="382">
        <f t="shared" si="162"/>
        <v>0</v>
      </c>
      <c r="AJ225" s="382">
        <f t="shared" si="162"/>
        <v>0</v>
      </c>
      <c r="AK225" s="382">
        <f t="shared" si="162"/>
        <v>0</v>
      </c>
      <c r="AL225" s="382">
        <f t="shared" si="162"/>
        <v>0</v>
      </c>
      <c r="AM225" s="382">
        <f t="shared" si="162"/>
        <v>0</v>
      </c>
      <c r="AN225" s="485">
        <f t="shared" si="162"/>
        <v>0</v>
      </c>
      <c r="AO225" s="382">
        <f t="shared" si="162"/>
        <v>0</v>
      </c>
      <c r="AP225" s="382">
        <f t="shared" si="162"/>
        <v>0</v>
      </c>
      <c r="AQ225" s="382">
        <f t="shared" si="162"/>
        <v>0</v>
      </c>
      <c r="AR225" s="382">
        <f t="shared" si="162"/>
        <v>0</v>
      </c>
      <c r="AS225" s="382">
        <f t="shared" si="162"/>
        <v>0</v>
      </c>
      <c r="AT225" s="382">
        <f t="shared" si="162"/>
        <v>0</v>
      </c>
      <c r="AU225" s="382">
        <f t="shared" si="162"/>
        <v>0</v>
      </c>
      <c r="AV225" s="382">
        <f t="shared" si="162"/>
        <v>0</v>
      </c>
      <c r="AW225" s="382">
        <f t="shared" si="162"/>
        <v>0</v>
      </c>
      <c r="AX225" s="382">
        <f t="shared" si="162"/>
        <v>0</v>
      </c>
      <c r="AY225" s="382">
        <f t="shared" si="162"/>
        <v>0</v>
      </c>
    </row>
    <row r="226" spans="1:51" x14ac:dyDescent="0.2">
      <c r="A226" s="376"/>
      <c r="B226" s="383" t="s">
        <v>20</v>
      </c>
      <c r="C226" s="376" t="s">
        <v>265</v>
      </c>
      <c r="D226" s="376"/>
      <c r="E226" s="488"/>
      <c r="F226" s="384"/>
      <c r="G226" s="385">
        <f t="shared" ref="G226:AY226" si="163">SUM(G206:G224)</f>
        <v>800741</v>
      </c>
      <c r="H226" s="385">
        <f t="shared" si="163"/>
        <v>357435</v>
      </c>
      <c r="I226" s="385">
        <f t="shared" si="163"/>
        <v>8196.130000000001</v>
      </c>
      <c r="J226" s="385">
        <f t="shared" si="163"/>
        <v>0</v>
      </c>
      <c r="K226" s="385">
        <f t="shared" si="163"/>
        <v>315143</v>
      </c>
      <c r="L226" s="385">
        <f t="shared" si="163"/>
        <v>0</v>
      </c>
      <c r="M226" s="385">
        <f t="shared" si="163"/>
        <v>312711</v>
      </c>
      <c r="N226" s="385">
        <f t="shared" si="163"/>
        <v>112993</v>
      </c>
      <c r="O226" s="385">
        <f t="shared" si="163"/>
        <v>143300</v>
      </c>
      <c r="P226" s="385">
        <f t="shared" si="163"/>
        <v>0</v>
      </c>
      <c r="Q226" s="385">
        <f t="shared" si="163"/>
        <v>0</v>
      </c>
      <c r="R226" s="385">
        <f t="shared" si="163"/>
        <v>0</v>
      </c>
      <c r="S226" s="385">
        <f t="shared" si="163"/>
        <v>0</v>
      </c>
      <c r="T226" s="385">
        <f t="shared" si="163"/>
        <v>0</v>
      </c>
      <c r="U226" s="385">
        <f t="shared" si="163"/>
        <v>0</v>
      </c>
      <c r="V226" s="385">
        <f t="shared" si="163"/>
        <v>0</v>
      </c>
      <c r="W226" s="385">
        <f t="shared" si="163"/>
        <v>0</v>
      </c>
      <c r="X226" s="385">
        <f t="shared" si="163"/>
        <v>0</v>
      </c>
      <c r="Y226" s="385">
        <f t="shared" si="163"/>
        <v>0</v>
      </c>
      <c r="Z226" s="385">
        <f t="shared" si="163"/>
        <v>0</v>
      </c>
      <c r="AA226" s="385">
        <f t="shared" si="163"/>
        <v>0</v>
      </c>
      <c r="AB226" s="385">
        <f t="shared" si="163"/>
        <v>0</v>
      </c>
      <c r="AC226" s="385">
        <f t="shared" si="163"/>
        <v>0</v>
      </c>
      <c r="AD226" s="385">
        <f t="shared" si="163"/>
        <v>0</v>
      </c>
      <c r="AE226" s="385">
        <f t="shared" si="163"/>
        <v>0</v>
      </c>
      <c r="AF226" s="385">
        <f t="shared" si="163"/>
        <v>0</v>
      </c>
      <c r="AG226" s="385">
        <f t="shared" si="163"/>
        <v>0</v>
      </c>
      <c r="AH226" s="385">
        <f t="shared" si="163"/>
        <v>0</v>
      </c>
      <c r="AI226" s="385">
        <f t="shared" si="163"/>
        <v>0</v>
      </c>
      <c r="AJ226" s="385">
        <f t="shared" si="163"/>
        <v>0</v>
      </c>
      <c r="AK226" s="385">
        <f t="shared" si="163"/>
        <v>0</v>
      </c>
      <c r="AL226" s="385">
        <f t="shared" si="163"/>
        <v>0</v>
      </c>
      <c r="AM226" s="385">
        <f t="shared" si="163"/>
        <v>0</v>
      </c>
      <c r="AN226" s="489">
        <f t="shared" si="163"/>
        <v>0</v>
      </c>
      <c r="AO226" s="385">
        <f t="shared" si="163"/>
        <v>0</v>
      </c>
      <c r="AP226" s="385">
        <f t="shared" si="163"/>
        <v>0</v>
      </c>
      <c r="AQ226" s="385">
        <f t="shared" si="163"/>
        <v>0</v>
      </c>
      <c r="AR226" s="385">
        <f t="shared" si="163"/>
        <v>0</v>
      </c>
      <c r="AS226" s="385">
        <f t="shared" si="163"/>
        <v>0</v>
      </c>
      <c r="AT226" s="385">
        <f t="shared" si="163"/>
        <v>0</v>
      </c>
      <c r="AU226" s="385">
        <f t="shared" si="163"/>
        <v>0</v>
      </c>
      <c r="AV226" s="385">
        <f t="shared" si="163"/>
        <v>0</v>
      </c>
      <c r="AW226" s="385">
        <f t="shared" si="163"/>
        <v>0</v>
      </c>
      <c r="AX226" s="385">
        <f t="shared" si="163"/>
        <v>0</v>
      </c>
      <c r="AY226" s="385">
        <f t="shared" si="163"/>
        <v>0</v>
      </c>
    </row>
    <row r="227" spans="1:51" x14ac:dyDescent="0.2">
      <c r="A227" s="376"/>
      <c r="B227" s="383"/>
      <c r="C227" s="376" t="s">
        <v>266</v>
      </c>
      <c r="D227" s="376"/>
      <c r="E227" s="488"/>
      <c r="F227" s="384"/>
      <c r="G227" s="379">
        <f t="shared" ref="G227:AY227" si="164">MIN(G206:G224)</f>
        <v>9323</v>
      </c>
      <c r="H227" s="379">
        <f t="shared" si="164"/>
        <v>4022</v>
      </c>
      <c r="I227" s="379">
        <f t="shared" si="164"/>
        <v>260</v>
      </c>
      <c r="J227" s="379">
        <f t="shared" si="164"/>
        <v>0</v>
      </c>
      <c r="K227" s="379">
        <f t="shared" si="164"/>
        <v>2016</v>
      </c>
      <c r="L227" s="379">
        <f t="shared" si="164"/>
        <v>0</v>
      </c>
      <c r="M227" s="379">
        <f t="shared" si="164"/>
        <v>2016</v>
      </c>
      <c r="N227" s="379">
        <f t="shared" si="164"/>
        <v>0</v>
      </c>
      <c r="O227" s="379">
        <f t="shared" si="164"/>
        <v>0</v>
      </c>
      <c r="P227" s="379">
        <f t="shared" si="164"/>
        <v>0</v>
      </c>
      <c r="Q227" s="379">
        <f t="shared" si="164"/>
        <v>0</v>
      </c>
      <c r="R227" s="379">
        <f t="shared" si="164"/>
        <v>0</v>
      </c>
      <c r="S227" s="379">
        <f t="shared" si="164"/>
        <v>0</v>
      </c>
      <c r="T227" s="379">
        <f t="shared" si="164"/>
        <v>0</v>
      </c>
      <c r="U227" s="379">
        <f t="shared" si="164"/>
        <v>0</v>
      </c>
      <c r="V227" s="379">
        <f t="shared" si="164"/>
        <v>0</v>
      </c>
      <c r="W227" s="379">
        <f t="shared" si="164"/>
        <v>0</v>
      </c>
      <c r="X227" s="379">
        <f t="shared" si="164"/>
        <v>0</v>
      </c>
      <c r="Y227" s="379">
        <f t="shared" si="164"/>
        <v>0</v>
      </c>
      <c r="Z227" s="379">
        <f t="shared" si="164"/>
        <v>0</v>
      </c>
      <c r="AA227" s="379">
        <f t="shared" si="164"/>
        <v>0</v>
      </c>
      <c r="AB227" s="379">
        <f t="shared" si="164"/>
        <v>0</v>
      </c>
      <c r="AC227" s="379">
        <f t="shared" si="164"/>
        <v>0</v>
      </c>
      <c r="AD227" s="379">
        <f t="shared" si="164"/>
        <v>0</v>
      </c>
      <c r="AE227" s="379">
        <f t="shared" si="164"/>
        <v>0</v>
      </c>
      <c r="AF227" s="379">
        <f t="shared" si="164"/>
        <v>0</v>
      </c>
      <c r="AG227" s="379">
        <f t="shared" si="164"/>
        <v>0</v>
      </c>
      <c r="AH227" s="379">
        <f t="shared" si="164"/>
        <v>0</v>
      </c>
      <c r="AI227" s="379">
        <f t="shared" si="164"/>
        <v>0</v>
      </c>
      <c r="AJ227" s="379">
        <f t="shared" si="164"/>
        <v>0</v>
      </c>
      <c r="AK227" s="379">
        <f t="shared" si="164"/>
        <v>0</v>
      </c>
      <c r="AL227" s="379">
        <f t="shared" si="164"/>
        <v>0</v>
      </c>
      <c r="AM227" s="379">
        <f t="shared" si="164"/>
        <v>0</v>
      </c>
      <c r="AN227" s="490">
        <f t="shared" si="164"/>
        <v>0</v>
      </c>
      <c r="AO227" s="379">
        <f t="shared" si="164"/>
        <v>0</v>
      </c>
      <c r="AP227" s="379">
        <f t="shared" si="164"/>
        <v>0</v>
      </c>
      <c r="AQ227" s="379">
        <f t="shared" si="164"/>
        <v>0</v>
      </c>
      <c r="AR227" s="379">
        <f t="shared" si="164"/>
        <v>0</v>
      </c>
      <c r="AS227" s="379">
        <f t="shared" si="164"/>
        <v>0</v>
      </c>
      <c r="AT227" s="379">
        <f t="shared" si="164"/>
        <v>0</v>
      </c>
      <c r="AU227" s="379">
        <f t="shared" si="164"/>
        <v>0</v>
      </c>
      <c r="AV227" s="379">
        <f t="shared" si="164"/>
        <v>0</v>
      </c>
      <c r="AW227" s="379">
        <f t="shared" si="164"/>
        <v>0</v>
      </c>
      <c r="AX227" s="379">
        <f t="shared" si="164"/>
        <v>0</v>
      </c>
      <c r="AY227" s="379">
        <f t="shared" si="164"/>
        <v>0</v>
      </c>
    </row>
    <row r="228" spans="1:51" x14ac:dyDescent="0.2">
      <c r="A228" s="376"/>
      <c r="B228" s="383"/>
      <c r="C228" s="376" t="s">
        <v>267</v>
      </c>
      <c r="D228" s="376"/>
      <c r="E228" s="488"/>
      <c r="F228" s="384"/>
      <c r="G228" s="379">
        <f t="shared" ref="G228:AY228" si="165">MAX(G206:G224)</f>
        <v>94011</v>
      </c>
      <c r="H228" s="379">
        <f t="shared" si="165"/>
        <v>66726</v>
      </c>
      <c r="I228" s="379">
        <f t="shared" si="165"/>
        <v>659</v>
      </c>
      <c r="J228" s="379">
        <f t="shared" si="165"/>
        <v>0</v>
      </c>
      <c r="K228" s="379">
        <f t="shared" si="165"/>
        <v>42879</v>
      </c>
      <c r="L228" s="379">
        <f t="shared" si="165"/>
        <v>0</v>
      </c>
      <c r="M228" s="379">
        <f t="shared" si="165"/>
        <v>43218</v>
      </c>
      <c r="N228" s="379">
        <f t="shared" si="165"/>
        <v>36156</v>
      </c>
      <c r="O228" s="379">
        <f t="shared" si="165"/>
        <v>32079</v>
      </c>
      <c r="P228" s="379">
        <f t="shared" si="165"/>
        <v>0</v>
      </c>
      <c r="Q228" s="379">
        <f t="shared" si="165"/>
        <v>0</v>
      </c>
      <c r="R228" s="379">
        <f t="shared" si="165"/>
        <v>0</v>
      </c>
      <c r="S228" s="379">
        <f t="shared" si="165"/>
        <v>0</v>
      </c>
      <c r="T228" s="379">
        <f t="shared" si="165"/>
        <v>0</v>
      </c>
      <c r="U228" s="379">
        <f t="shared" si="165"/>
        <v>0</v>
      </c>
      <c r="V228" s="379">
        <f t="shared" si="165"/>
        <v>0</v>
      </c>
      <c r="W228" s="379">
        <f t="shared" si="165"/>
        <v>0</v>
      </c>
      <c r="X228" s="379">
        <f t="shared" si="165"/>
        <v>0</v>
      </c>
      <c r="Y228" s="379">
        <f t="shared" si="165"/>
        <v>0</v>
      </c>
      <c r="Z228" s="379">
        <f t="shared" si="165"/>
        <v>0</v>
      </c>
      <c r="AA228" s="379">
        <f t="shared" si="165"/>
        <v>0</v>
      </c>
      <c r="AB228" s="379">
        <f t="shared" si="165"/>
        <v>0</v>
      </c>
      <c r="AC228" s="379">
        <f t="shared" si="165"/>
        <v>0</v>
      </c>
      <c r="AD228" s="379">
        <f t="shared" si="165"/>
        <v>0</v>
      </c>
      <c r="AE228" s="379">
        <f t="shared" si="165"/>
        <v>0</v>
      </c>
      <c r="AF228" s="379">
        <f t="shared" si="165"/>
        <v>0</v>
      </c>
      <c r="AG228" s="379">
        <f t="shared" si="165"/>
        <v>0</v>
      </c>
      <c r="AH228" s="379">
        <f t="shared" si="165"/>
        <v>0</v>
      </c>
      <c r="AI228" s="379">
        <f t="shared" si="165"/>
        <v>0</v>
      </c>
      <c r="AJ228" s="379">
        <f t="shared" si="165"/>
        <v>0</v>
      </c>
      <c r="AK228" s="379">
        <f t="shared" si="165"/>
        <v>0</v>
      </c>
      <c r="AL228" s="379">
        <f t="shared" si="165"/>
        <v>0</v>
      </c>
      <c r="AM228" s="379">
        <f t="shared" si="165"/>
        <v>0</v>
      </c>
      <c r="AN228" s="490">
        <f t="shared" si="165"/>
        <v>0</v>
      </c>
      <c r="AO228" s="379">
        <f t="shared" si="165"/>
        <v>0</v>
      </c>
      <c r="AP228" s="379">
        <f t="shared" si="165"/>
        <v>0</v>
      </c>
      <c r="AQ228" s="379">
        <f t="shared" si="165"/>
        <v>0</v>
      </c>
      <c r="AR228" s="379">
        <f t="shared" si="165"/>
        <v>0</v>
      </c>
      <c r="AS228" s="379">
        <f t="shared" si="165"/>
        <v>0</v>
      </c>
      <c r="AT228" s="379">
        <f t="shared" si="165"/>
        <v>0</v>
      </c>
      <c r="AU228" s="379">
        <f t="shared" si="165"/>
        <v>0</v>
      </c>
      <c r="AV228" s="379">
        <f t="shared" si="165"/>
        <v>0</v>
      </c>
      <c r="AW228" s="379">
        <f t="shared" si="165"/>
        <v>0</v>
      </c>
      <c r="AX228" s="379">
        <f t="shared" si="165"/>
        <v>0</v>
      </c>
      <c r="AY228" s="379">
        <f t="shared" si="165"/>
        <v>0</v>
      </c>
    </row>
    <row r="229" spans="1:51" x14ac:dyDescent="0.2">
      <c r="A229" s="376"/>
      <c r="B229" s="383"/>
      <c r="C229" s="376" t="s">
        <v>268</v>
      </c>
      <c r="D229" s="376"/>
      <c r="E229" s="488"/>
      <c r="F229" s="384"/>
      <c r="G229" s="379">
        <f t="shared" ref="G229:AY229" si="166">AVERAGE(G206:G224)</f>
        <v>42144.26315789474</v>
      </c>
      <c r="H229" s="379">
        <f t="shared" si="166"/>
        <v>18812.36842105263</v>
      </c>
      <c r="I229" s="379">
        <f t="shared" si="166"/>
        <v>431.37526315789478</v>
      </c>
      <c r="J229" s="379" t="e">
        <f t="shared" si="166"/>
        <v>#DIV/0!</v>
      </c>
      <c r="K229" s="379">
        <f t="shared" si="166"/>
        <v>16586.473684210527</v>
      </c>
      <c r="L229" s="379">
        <f t="shared" si="166"/>
        <v>0</v>
      </c>
      <c r="M229" s="379">
        <f t="shared" si="166"/>
        <v>16458.473684210527</v>
      </c>
      <c r="N229" s="379">
        <f t="shared" si="166"/>
        <v>5947</v>
      </c>
      <c r="O229" s="379">
        <f t="shared" si="166"/>
        <v>7542.105263157895</v>
      </c>
      <c r="P229" s="379">
        <f t="shared" si="166"/>
        <v>0</v>
      </c>
      <c r="Q229" s="379" t="e">
        <f t="shared" si="166"/>
        <v>#DIV/0!</v>
      </c>
      <c r="R229" s="379" t="e">
        <f t="shared" si="166"/>
        <v>#DIV/0!</v>
      </c>
      <c r="S229" s="379">
        <f t="shared" si="166"/>
        <v>0</v>
      </c>
      <c r="T229" s="379">
        <f t="shared" si="166"/>
        <v>0</v>
      </c>
      <c r="U229" s="379">
        <f t="shared" si="166"/>
        <v>0</v>
      </c>
      <c r="V229" s="379">
        <f t="shared" si="166"/>
        <v>0</v>
      </c>
      <c r="W229" s="379">
        <f t="shared" si="166"/>
        <v>0</v>
      </c>
      <c r="X229" s="379">
        <f t="shared" si="166"/>
        <v>0</v>
      </c>
      <c r="Y229" s="379">
        <f t="shared" si="166"/>
        <v>0</v>
      </c>
      <c r="Z229" s="379">
        <f t="shared" si="166"/>
        <v>0</v>
      </c>
      <c r="AA229" s="379">
        <f t="shared" si="166"/>
        <v>0</v>
      </c>
      <c r="AB229" s="379">
        <f t="shared" si="166"/>
        <v>0</v>
      </c>
      <c r="AC229" s="379">
        <f t="shared" si="166"/>
        <v>0</v>
      </c>
      <c r="AD229" s="379">
        <f t="shared" si="166"/>
        <v>0</v>
      </c>
      <c r="AE229" s="379">
        <f t="shared" si="166"/>
        <v>0</v>
      </c>
      <c r="AF229" s="379">
        <f t="shared" si="166"/>
        <v>0</v>
      </c>
      <c r="AG229" s="379">
        <f t="shared" si="166"/>
        <v>0</v>
      </c>
      <c r="AH229" s="379">
        <f t="shared" si="166"/>
        <v>0</v>
      </c>
      <c r="AI229" s="379">
        <f t="shared" si="166"/>
        <v>0</v>
      </c>
      <c r="AJ229" s="379">
        <f t="shared" si="166"/>
        <v>0</v>
      </c>
      <c r="AK229" s="379">
        <f t="shared" si="166"/>
        <v>0</v>
      </c>
      <c r="AL229" s="379">
        <f t="shared" si="166"/>
        <v>0</v>
      </c>
      <c r="AM229" s="379">
        <f t="shared" si="166"/>
        <v>0</v>
      </c>
      <c r="AN229" s="490">
        <f t="shared" si="166"/>
        <v>0</v>
      </c>
      <c r="AO229" s="379">
        <f t="shared" si="166"/>
        <v>0</v>
      </c>
      <c r="AP229" s="379">
        <f t="shared" si="166"/>
        <v>0</v>
      </c>
      <c r="AQ229" s="379">
        <f t="shared" si="166"/>
        <v>0</v>
      </c>
      <c r="AR229" s="379">
        <f t="shared" si="166"/>
        <v>0</v>
      </c>
      <c r="AS229" s="379">
        <f t="shared" si="166"/>
        <v>0</v>
      </c>
      <c r="AT229" s="379">
        <f t="shared" si="166"/>
        <v>0</v>
      </c>
      <c r="AU229" s="379">
        <f t="shared" si="166"/>
        <v>0</v>
      </c>
      <c r="AV229" s="379">
        <f t="shared" si="166"/>
        <v>0</v>
      </c>
      <c r="AW229" s="379">
        <f t="shared" si="166"/>
        <v>0</v>
      </c>
      <c r="AX229" s="379">
        <f t="shared" si="166"/>
        <v>0</v>
      </c>
      <c r="AY229" s="379">
        <f t="shared" si="166"/>
        <v>0</v>
      </c>
    </row>
    <row r="230" spans="1:51" ht="13.5" thickBot="1" x14ac:dyDescent="0.25">
      <c r="A230" s="386"/>
      <c r="B230" s="387"/>
      <c r="C230" s="386" t="s">
        <v>269</v>
      </c>
      <c r="D230" s="386"/>
      <c r="E230" s="491"/>
      <c r="F230" s="384"/>
      <c r="G230" s="388">
        <f t="shared" ref="G230:AY230" si="167">MEDIAN(G206:G224)</f>
        <v>33278</v>
      </c>
      <c r="H230" s="388">
        <f t="shared" si="167"/>
        <v>15348</v>
      </c>
      <c r="I230" s="388">
        <f t="shared" si="167"/>
        <v>425</v>
      </c>
      <c r="J230" s="388" t="e">
        <f t="shared" si="167"/>
        <v>#NUM!</v>
      </c>
      <c r="K230" s="388">
        <f t="shared" si="167"/>
        <v>13526</v>
      </c>
      <c r="L230" s="388">
        <f t="shared" si="167"/>
        <v>0</v>
      </c>
      <c r="M230" s="388">
        <f t="shared" si="167"/>
        <v>13617</v>
      </c>
      <c r="N230" s="388">
        <f t="shared" si="167"/>
        <v>0</v>
      </c>
      <c r="O230" s="388">
        <f t="shared" si="167"/>
        <v>4045</v>
      </c>
      <c r="P230" s="388">
        <f t="shared" si="167"/>
        <v>0</v>
      </c>
      <c r="Q230" s="388" t="e">
        <f t="shared" si="167"/>
        <v>#NUM!</v>
      </c>
      <c r="R230" s="388" t="e">
        <f t="shared" si="167"/>
        <v>#NUM!</v>
      </c>
      <c r="S230" s="388">
        <f t="shared" si="167"/>
        <v>0</v>
      </c>
      <c r="T230" s="388">
        <f t="shared" si="167"/>
        <v>0</v>
      </c>
      <c r="U230" s="388">
        <f t="shared" si="167"/>
        <v>0</v>
      </c>
      <c r="V230" s="388">
        <f t="shared" si="167"/>
        <v>0</v>
      </c>
      <c r="W230" s="388">
        <f t="shared" si="167"/>
        <v>0</v>
      </c>
      <c r="X230" s="388">
        <f t="shared" si="167"/>
        <v>0</v>
      </c>
      <c r="Y230" s="388">
        <f t="shared" si="167"/>
        <v>0</v>
      </c>
      <c r="Z230" s="388">
        <f t="shared" si="167"/>
        <v>0</v>
      </c>
      <c r="AA230" s="388">
        <f t="shared" si="167"/>
        <v>0</v>
      </c>
      <c r="AB230" s="388">
        <f t="shared" si="167"/>
        <v>0</v>
      </c>
      <c r="AC230" s="388">
        <f t="shared" si="167"/>
        <v>0</v>
      </c>
      <c r="AD230" s="388">
        <f t="shared" si="167"/>
        <v>0</v>
      </c>
      <c r="AE230" s="388">
        <f t="shared" si="167"/>
        <v>0</v>
      </c>
      <c r="AF230" s="388">
        <f t="shared" si="167"/>
        <v>0</v>
      </c>
      <c r="AG230" s="388">
        <f t="shared" si="167"/>
        <v>0</v>
      </c>
      <c r="AH230" s="388">
        <f t="shared" si="167"/>
        <v>0</v>
      </c>
      <c r="AI230" s="388">
        <f t="shared" si="167"/>
        <v>0</v>
      </c>
      <c r="AJ230" s="388">
        <f t="shared" si="167"/>
        <v>0</v>
      </c>
      <c r="AK230" s="388">
        <f t="shared" si="167"/>
        <v>0</v>
      </c>
      <c r="AL230" s="388">
        <f t="shared" si="167"/>
        <v>0</v>
      </c>
      <c r="AM230" s="388">
        <f t="shared" si="167"/>
        <v>0</v>
      </c>
      <c r="AN230" s="492">
        <f t="shared" si="167"/>
        <v>0</v>
      </c>
      <c r="AO230" s="388">
        <f t="shared" si="167"/>
        <v>0</v>
      </c>
      <c r="AP230" s="388">
        <f t="shared" si="167"/>
        <v>0</v>
      </c>
      <c r="AQ230" s="388">
        <f t="shared" si="167"/>
        <v>0</v>
      </c>
      <c r="AR230" s="388">
        <f t="shared" si="167"/>
        <v>0</v>
      </c>
      <c r="AS230" s="388">
        <f t="shared" si="167"/>
        <v>0</v>
      </c>
      <c r="AT230" s="388">
        <f t="shared" si="167"/>
        <v>0</v>
      </c>
      <c r="AU230" s="388">
        <f t="shared" si="167"/>
        <v>0</v>
      </c>
      <c r="AV230" s="388">
        <f t="shared" si="167"/>
        <v>0</v>
      </c>
      <c r="AW230" s="388">
        <f t="shared" si="167"/>
        <v>0</v>
      </c>
      <c r="AX230" s="388">
        <f t="shared" si="167"/>
        <v>0</v>
      </c>
      <c r="AY230" s="388">
        <f t="shared" si="167"/>
        <v>0</v>
      </c>
    </row>
    <row r="231" spans="1:51" ht="13.5" thickTop="1" x14ac:dyDescent="0.2">
      <c r="B231" s="493" t="s">
        <v>261</v>
      </c>
      <c r="F231"/>
      <c r="G231"/>
      <c r="H231"/>
      <c r="I231"/>
      <c r="J231"/>
      <c r="K231"/>
      <c r="L231" s="278"/>
    </row>
    <row r="232" spans="1:51" x14ac:dyDescent="0.2">
      <c r="B232" s="493"/>
      <c r="G232" s="370"/>
      <c r="H232" s="370"/>
      <c r="I232" s="370"/>
      <c r="J232" s="370"/>
      <c r="K232" s="370"/>
      <c r="L232" s="370"/>
    </row>
    <row r="233" spans="1:51" x14ac:dyDescent="0.2">
      <c r="G233" s="370"/>
      <c r="H233" s="370"/>
      <c r="I233" s="370"/>
      <c r="J233" s="370"/>
      <c r="K233" s="370"/>
      <c r="L233" s="370"/>
    </row>
    <row r="234" spans="1:51" ht="15.75" x14ac:dyDescent="0.25">
      <c r="A234" s="371"/>
      <c r="B234" s="371" t="s">
        <v>305</v>
      </c>
      <c r="C234" s="501"/>
      <c r="D234" s="506"/>
      <c r="E234" s="373"/>
      <c r="F234" s="374"/>
      <c r="G234" s="375"/>
      <c r="H234" s="375"/>
      <c r="I234" s="375"/>
      <c r="J234" s="375"/>
      <c r="K234" s="375"/>
      <c r="L234" s="375"/>
    </row>
    <row r="235" spans="1:51" x14ac:dyDescent="0.2">
      <c r="A235" s="376">
        <v>10050</v>
      </c>
      <c r="B235" s="378" t="str">
        <f t="shared" ref="B235:B266" si="168">VLOOKUP($A235,$A$5:$L$133,2,FALSE)</f>
        <v>Albury (C)</v>
      </c>
      <c r="C235" s="377" t="str">
        <f t="shared" ref="C235:C266" si="169">VLOOKUP($A235,$A$5:$L$133,3,FALSE)</f>
        <v>RAMROC Murray</v>
      </c>
      <c r="D235" s="503" t="str">
        <f t="shared" ref="D235:D266" si="170">VLOOKUP($A235,$A$5:$L$133,4,FALSE)</f>
        <v>N</v>
      </c>
      <c r="E235" s="503"/>
      <c r="F235"/>
      <c r="G235" s="379">
        <f t="shared" ref="G235:G266" si="171">VLOOKUP($A235,$A$5:$AY$132,7,FALSE)</f>
        <v>52411</v>
      </c>
      <c r="H235" s="379">
        <f t="shared" ref="H235:H266" si="172">VLOOKUP($A235,$A$5:$AY$132,8,FALSE)</f>
        <v>21678</v>
      </c>
      <c r="I235" s="379">
        <f t="shared" ref="I235:I266" si="173">VLOOKUP($A235,$A$5:$AY$132,9,FALSE)</f>
        <v>250</v>
      </c>
      <c r="J235" s="379" t="str">
        <f t="shared" ref="J235:J266" si="174">VLOOKUP($A235,$A$5:$AY$132,10,FALSE)</f>
        <v>Y</v>
      </c>
      <c r="K235" s="379">
        <f t="shared" ref="K235:K266" si="175">VLOOKUP($A235,$A$5:$AY$132,11,FALSE)</f>
        <v>22964</v>
      </c>
      <c r="L235" s="379">
        <f t="shared" ref="L235:L266" si="176">VLOOKUP($A235,$A$5:$AY$132,12,FALSE)</f>
        <v>0</v>
      </c>
      <c r="M235" s="379">
        <f t="shared" ref="M235:M266" si="177">VLOOKUP($A235,$A$4:$AY$132,13,FALSE)</f>
        <v>22964</v>
      </c>
      <c r="N235" s="379">
        <f t="shared" ref="N235:N266" si="178">VLOOKUP($A235,$A$4:$AY$132,14,FALSE)</f>
        <v>0</v>
      </c>
      <c r="O235" s="379">
        <f t="shared" ref="O235:O266" si="179">VLOOKUP($A235,$A$4:$AY$132,15,FALSE)</f>
        <v>22964</v>
      </c>
      <c r="P235" s="379">
        <f t="shared" ref="P235:P266" si="180">VLOOKUP($A235,$A$4:$AY$132,16,FALSE)</f>
        <v>0</v>
      </c>
      <c r="Q235" s="379" t="str">
        <f t="shared" ref="Q235:Q266" si="181">VLOOKUP($A235,$A$4:$AY$132,17,FALSE)</f>
        <v>Y</v>
      </c>
      <c r="R235" s="379" t="str">
        <f t="shared" ref="R235:R266" si="182">VLOOKUP($A235,$A$4:$AY$132,18,FALSE)</f>
        <v>AWMC</v>
      </c>
      <c r="S235" s="379">
        <f t="shared" ref="S235:S266" si="183">VLOOKUP($A235,$A$4:$AY$132,19,FALSE)</f>
        <v>0</v>
      </c>
      <c r="T235" s="379">
        <f t="shared" ref="T235:T266" si="184">VLOOKUP($A235,$A$4:$AY$132,20,FALSE)</f>
        <v>0</v>
      </c>
      <c r="U235" s="379">
        <f t="shared" ref="U235:U266" si="185">VLOOKUP($A235,$A$4:$AY$132,21,FALSE)</f>
        <v>0</v>
      </c>
      <c r="V235" s="379">
        <f t="shared" ref="V235:V266" si="186">VLOOKUP($A235,$A$4:$AY$132,22,FALSE)</f>
        <v>0</v>
      </c>
      <c r="W235" s="379">
        <f t="shared" ref="W235:W266" si="187">VLOOKUP($A235,$A$4:$AY$132,23,FALSE)</f>
        <v>0</v>
      </c>
      <c r="X235" s="379">
        <f t="shared" ref="X235:X266" si="188">VLOOKUP($A235,$A$4:$AY$132,24,FALSE)</f>
        <v>0</v>
      </c>
      <c r="Y235" s="379">
        <f t="shared" ref="Y235:Y266" si="189">VLOOKUP($A235,$A$4:$AY$132,25,FALSE)</f>
        <v>0</v>
      </c>
      <c r="Z235" s="379">
        <f t="shared" ref="Z235:Z266" si="190">VLOOKUP($A235,$A$4:$AY$132,26,FALSE)</f>
        <v>0</v>
      </c>
      <c r="AA235" s="379">
        <f t="shared" ref="AA235:AA266" si="191">VLOOKUP($A235,$A$4:$AY$132,27,FALSE)</f>
        <v>0</v>
      </c>
      <c r="AB235" s="379">
        <f t="shared" ref="AB235:AB266" si="192">VLOOKUP($A235,$A$4:$AY$132,28,FALSE)</f>
        <v>0</v>
      </c>
      <c r="AC235" s="379">
        <f t="shared" ref="AC235:AC266" si="193">VLOOKUP($A235,$A$4:$AY$132,29,FALSE)</f>
        <v>0</v>
      </c>
      <c r="AD235" s="379">
        <f t="shared" ref="AD235:AD266" si="194">VLOOKUP($A235,$A$4:$AY$132,30,FALSE)</f>
        <v>0</v>
      </c>
      <c r="AE235" s="379">
        <f t="shared" ref="AE235:AE266" si="195">VLOOKUP($A235,$A$4:$AY$132,31,FALSE)</f>
        <v>0</v>
      </c>
      <c r="AF235" s="379">
        <f t="shared" ref="AF235:AF266" si="196">VLOOKUP($A235,$A$4:$AY$132,32,FALSE)</f>
        <v>0</v>
      </c>
      <c r="AG235" s="379">
        <f t="shared" ref="AG235:AG266" si="197">VLOOKUP($A235,$A$4:$AY$132,33,FALSE)</f>
        <v>0</v>
      </c>
      <c r="AH235" s="379">
        <f t="shared" ref="AH235:AH266" si="198">VLOOKUP($A235,$A$4:$AY$132,34,FALSE)</f>
        <v>0</v>
      </c>
      <c r="AI235" s="379">
        <f t="shared" ref="AI235:AI266" si="199">VLOOKUP($A235,$A$4:$AY$132,35,FALSE)</f>
        <v>0</v>
      </c>
      <c r="AJ235" s="379">
        <f t="shared" ref="AJ235:AJ266" si="200">VLOOKUP($A235,$A$4:$AY$132,36,FALSE)</f>
        <v>0</v>
      </c>
      <c r="AK235" s="379">
        <f t="shared" ref="AK235:AK266" si="201">VLOOKUP($A235,$A$4:$AY$132,37,FALSE)</f>
        <v>0</v>
      </c>
      <c r="AL235" s="379">
        <f t="shared" ref="AL235:AL266" si="202">VLOOKUP($A235,$A$4:$AY$132,38,FALSE)</f>
        <v>0</v>
      </c>
      <c r="AM235" s="379">
        <f t="shared" ref="AM235:AM266" si="203">VLOOKUP($A235,$A$4:$AY$132,39,FALSE)</f>
        <v>0</v>
      </c>
      <c r="AN235" s="490">
        <f t="shared" ref="AN235:AN266" si="204">VLOOKUP($A235,$A$4:$AY$132,40,FALSE)</f>
        <v>0</v>
      </c>
      <c r="AO235" s="379">
        <f t="shared" ref="AO235:AO266" si="205">VLOOKUP($A235,$A$4:$AY$132,41,FALSE)</f>
        <v>0</v>
      </c>
      <c r="AP235" s="379">
        <f t="shared" ref="AP235:AP266" si="206">VLOOKUP($A235,$A$4:$AY$132,42,FALSE)</f>
        <v>0</v>
      </c>
      <c r="AQ235" s="379">
        <f t="shared" ref="AQ235:AQ266" si="207">VLOOKUP($A235,$A$4:$AY$132,43,FALSE)</f>
        <v>0</v>
      </c>
      <c r="AR235" s="379">
        <f t="shared" ref="AR235:AR266" si="208">VLOOKUP($A235,$A$4:$AY$132,44,FALSE)</f>
        <v>0</v>
      </c>
      <c r="AS235" s="379">
        <f t="shared" ref="AS235:AS266" si="209">VLOOKUP($A235,$A$4:$AY$132,45,FALSE)</f>
        <v>0</v>
      </c>
      <c r="AT235" s="379">
        <f t="shared" ref="AT235:AT266" si="210">VLOOKUP($A235,$A$4:$AY$132,46,FALSE)</f>
        <v>0</v>
      </c>
      <c r="AU235" s="379">
        <f t="shared" ref="AU235:AU266" si="211">VLOOKUP($A235,$A$4:$AY$132,47,FALSE)</f>
        <v>0</v>
      </c>
      <c r="AV235" s="379">
        <f t="shared" ref="AV235:AV266" si="212">VLOOKUP($A235,$A$4:$AY$132,48,FALSE)</f>
        <v>0</v>
      </c>
      <c r="AW235" s="379">
        <f t="shared" ref="AW235:AW266" si="213">VLOOKUP($A235,$A$4:$AY$132,49,FALSE)</f>
        <v>0</v>
      </c>
      <c r="AX235" s="379">
        <f t="shared" ref="AX235:AX266" si="214">VLOOKUP($A235,$A$4:$AY$132,50,FALSE)</f>
        <v>0</v>
      </c>
      <c r="AY235" s="379">
        <f t="shared" ref="AY235:AY266" si="215">VLOOKUP($A235,$A$4:$AY$132,51,FALSE)</f>
        <v>0</v>
      </c>
    </row>
    <row r="236" spans="1:51" x14ac:dyDescent="0.2">
      <c r="A236" s="376">
        <v>10130</v>
      </c>
      <c r="B236" s="378" t="str">
        <f t="shared" si="168"/>
        <v>Armidale Regional (A)</v>
      </c>
      <c r="C236" s="377" t="str">
        <f t="shared" si="169"/>
        <v>NIRW</v>
      </c>
      <c r="D236" s="503" t="str">
        <f t="shared" si="170"/>
        <v>N</v>
      </c>
      <c r="E236" s="503"/>
      <c r="F236"/>
      <c r="G236" s="379">
        <f t="shared" si="171"/>
        <v>30045</v>
      </c>
      <c r="H236" s="379">
        <f t="shared" si="172"/>
        <v>12098</v>
      </c>
      <c r="I236" s="379">
        <f t="shared" si="173"/>
        <v>321</v>
      </c>
      <c r="J236" s="379" t="str">
        <f t="shared" si="174"/>
        <v>Y</v>
      </c>
      <c r="K236" s="379">
        <f t="shared" si="175"/>
        <v>9781</v>
      </c>
      <c r="L236" s="379" t="str">
        <f t="shared" si="176"/>
        <v>Y</v>
      </c>
      <c r="M236" s="379">
        <f t="shared" si="177"/>
        <v>9256</v>
      </c>
      <c r="N236" s="379">
        <f t="shared" si="178"/>
        <v>0</v>
      </c>
      <c r="O236" s="379">
        <f t="shared" si="179"/>
        <v>8567</v>
      </c>
      <c r="P236" s="379">
        <f t="shared" si="180"/>
        <v>0</v>
      </c>
      <c r="Q236" s="379" t="str">
        <f t="shared" si="181"/>
        <v>Y</v>
      </c>
      <c r="R236" s="379" t="str">
        <f t="shared" si="182"/>
        <v>Guyra Waste Transfer Facility</v>
      </c>
      <c r="S236" s="379" t="str">
        <f t="shared" si="183"/>
        <v>Tilbuster Waste Transfer Station</v>
      </c>
      <c r="T236" s="379" t="str">
        <f t="shared" si="184"/>
        <v>Ebor Waste Transfer Station</v>
      </c>
      <c r="U236" s="379" t="str">
        <f t="shared" si="185"/>
        <v>Woollomombi Waste Transfer Station</v>
      </c>
      <c r="V236" s="379" t="str">
        <f t="shared" si="186"/>
        <v>Hillgrove Waste Transfer Station</v>
      </c>
      <c r="W236" s="379">
        <f t="shared" si="187"/>
        <v>0</v>
      </c>
      <c r="X236" s="379">
        <f t="shared" si="188"/>
        <v>0</v>
      </c>
      <c r="Y236" s="379">
        <f t="shared" si="189"/>
        <v>0</v>
      </c>
      <c r="Z236" s="379">
        <f t="shared" si="190"/>
        <v>0</v>
      </c>
      <c r="AA236" s="379">
        <f t="shared" si="191"/>
        <v>0</v>
      </c>
      <c r="AB236" s="379">
        <f t="shared" si="192"/>
        <v>0</v>
      </c>
      <c r="AC236" s="379">
        <f t="shared" si="193"/>
        <v>0</v>
      </c>
      <c r="AD236" s="379">
        <f t="shared" si="194"/>
        <v>0</v>
      </c>
      <c r="AE236" s="379">
        <f t="shared" si="195"/>
        <v>0</v>
      </c>
      <c r="AF236" s="379">
        <f t="shared" si="196"/>
        <v>0</v>
      </c>
      <c r="AG236" s="379">
        <f t="shared" si="197"/>
        <v>0</v>
      </c>
      <c r="AH236" s="379">
        <f t="shared" si="198"/>
        <v>0</v>
      </c>
      <c r="AI236" s="379">
        <f t="shared" si="199"/>
        <v>0</v>
      </c>
      <c r="AJ236" s="379">
        <f t="shared" si="200"/>
        <v>0</v>
      </c>
      <c r="AK236" s="379">
        <f t="shared" si="201"/>
        <v>0</v>
      </c>
      <c r="AL236" s="379">
        <f t="shared" si="202"/>
        <v>0</v>
      </c>
      <c r="AM236" s="379">
        <f t="shared" si="203"/>
        <v>0</v>
      </c>
      <c r="AN236" s="490">
        <f t="shared" si="204"/>
        <v>0</v>
      </c>
      <c r="AO236" s="379">
        <f t="shared" si="205"/>
        <v>0</v>
      </c>
      <c r="AP236" s="379">
        <f t="shared" si="206"/>
        <v>0</v>
      </c>
      <c r="AQ236" s="379">
        <f t="shared" si="207"/>
        <v>0</v>
      </c>
      <c r="AR236" s="379">
        <f t="shared" si="208"/>
        <v>0</v>
      </c>
      <c r="AS236" s="379">
        <f t="shared" si="209"/>
        <v>0</v>
      </c>
      <c r="AT236" s="379">
        <f t="shared" si="210"/>
        <v>0</v>
      </c>
      <c r="AU236" s="379">
        <f t="shared" si="211"/>
        <v>0</v>
      </c>
      <c r="AV236" s="379">
        <f t="shared" si="212"/>
        <v>0</v>
      </c>
      <c r="AW236" s="379">
        <f t="shared" si="213"/>
        <v>0</v>
      </c>
      <c r="AX236" s="379">
        <f t="shared" si="214"/>
        <v>0</v>
      </c>
      <c r="AY236" s="379">
        <f t="shared" si="215"/>
        <v>0</v>
      </c>
    </row>
    <row r="237" spans="1:51" x14ac:dyDescent="0.2">
      <c r="A237" s="376">
        <v>10300</v>
      </c>
      <c r="B237" s="378" t="str">
        <f t="shared" si="168"/>
        <v>Balranald (A)</v>
      </c>
      <c r="C237" s="377" t="str">
        <f t="shared" si="169"/>
        <v>RAMROC Murray</v>
      </c>
      <c r="D237" s="503" t="str">
        <f t="shared" si="170"/>
        <v>N</v>
      </c>
      <c r="E237" s="503"/>
      <c r="F237"/>
      <c r="G237" s="379">
        <f t="shared" si="171"/>
        <v>2385</v>
      </c>
      <c r="H237" s="379">
        <f t="shared" si="172"/>
        <v>1674</v>
      </c>
      <c r="I237" s="379">
        <f t="shared" si="173"/>
        <v>305</v>
      </c>
      <c r="J237" s="379" t="str">
        <f t="shared" si="174"/>
        <v>Y</v>
      </c>
      <c r="K237" s="379">
        <f t="shared" si="175"/>
        <v>708</v>
      </c>
      <c r="L237" s="379">
        <f t="shared" si="176"/>
        <v>0</v>
      </c>
      <c r="M237" s="379">
        <f t="shared" si="177"/>
        <v>0</v>
      </c>
      <c r="N237" s="379">
        <f t="shared" si="178"/>
        <v>0</v>
      </c>
      <c r="O237" s="379">
        <f t="shared" si="179"/>
        <v>0</v>
      </c>
      <c r="P237" s="379" t="str">
        <f t="shared" si="180"/>
        <v>Y</v>
      </c>
      <c r="Q237" s="379" t="str">
        <f t="shared" si="181"/>
        <v>Y</v>
      </c>
      <c r="R237" s="379" t="str">
        <f t="shared" si="182"/>
        <v>Balranald</v>
      </c>
      <c r="S237" s="379" t="str">
        <f t="shared" si="183"/>
        <v>Euston</v>
      </c>
      <c r="T237" s="379">
        <f t="shared" si="184"/>
        <v>0</v>
      </c>
      <c r="U237" s="379">
        <f t="shared" si="185"/>
        <v>0</v>
      </c>
      <c r="V237" s="379">
        <f t="shared" si="186"/>
        <v>0</v>
      </c>
      <c r="W237" s="379">
        <f t="shared" si="187"/>
        <v>0</v>
      </c>
      <c r="X237" s="379">
        <f t="shared" si="188"/>
        <v>0</v>
      </c>
      <c r="Y237" s="379">
        <f t="shared" si="189"/>
        <v>0</v>
      </c>
      <c r="Z237" s="379">
        <f t="shared" si="190"/>
        <v>0</v>
      </c>
      <c r="AA237" s="379">
        <f t="shared" si="191"/>
        <v>0</v>
      </c>
      <c r="AB237" s="379">
        <f t="shared" si="192"/>
        <v>0</v>
      </c>
      <c r="AC237" s="379">
        <f t="shared" si="193"/>
        <v>0</v>
      </c>
      <c r="AD237" s="379">
        <f t="shared" si="194"/>
        <v>0</v>
      </c>
      <c r="AE237" s="379">
        <f t="shared" si="195"/>
        <v>0</v>
      </c>
      <c r="AF237" s="379">
        <f t="shared" si="196"/>
        <v>0</v>
      </c>
      <c r="AG237" s="379">
        <f t="shared" si="197"/>
        <v>0</v>
      </c>
      <c r="AH237" s="379">
        <f t="shared" si="198"/>
        <v>0</v>
      </c>
      <c r="AI237" s="379">
        <f t="shared" si="199"/>
        <v>0</v>
      </c>
      <c r="AJ237" s="379">
        <f t="shared" si="200"/>
        <v>0</v>
      </c>
      <c r="AK237" s="379">
        <f t="shared" si="201"/>
        <v>0</v>
      </c>
      <c r="AL237" s="379">
        <f t="shared" si="202"/>
        <v>0</v>
      </c>
      <c r="AM237" s="379">
        <f t="shared" si="203"/>
        <v>0</v>
      </c>
      <c r="AN237" s="490">
        <f t="shared" si="204"/>
        <v>0</v>
      </c>
      <c r="AO237" s="379">
        <f t="shared" si="205"/>
        <v>0</v>
      </c>
      <c r="AP237" s="379">
        <f t="shared" si="206"/>
        <v>0</v>
      </c>
      <c r="AQ237" s="379">
        <f t="shared" si="207"/>
        <v>0</v>
      </c>
      <c r="AR237" s="379">
        <f t="shared" si="208"/>
        <v>0</v>
      </c>
      <c r="AS237" s="379">
        <f t="shared" si="209"/>
        <v>0</v>
      </c>
      <c r="AT237" s="379">
        <f t="shared" si="210"/>
        <v>0</v>
      </c>
      <c r="AU237" s="379">
        <f t="shared" si="211"/>
        <v>0</v>
      </c>
      <c r="AV237" s="379">
        <f t="shared" si="212"/>
        <v>0</v>
      </c>
      <c r="AW237" s="379">
        <f t="shared" si="213"/>
        <v>0</v>
      </c>
      <c r="AX237" s="379">
        <f t="shared" si="214"/>
        <v>0</v>
      </c>
      <c r="AY237" s="379">
        <f t="shared" si="215"/>
        <v>0</v>
      </c>
    </row>
    <row r="238" spans="1:51" x14ac:dyDescent="0.2">
      <c r="A238" s="376">
        <v>10470</v>
      </c>
      <c r="B238" s="378" t="str">
        <f t="shared" si="168"/>
        <v>Bathurst Regional (A)</v>
      </c>
      <c r="C238" s="377" t="str">
        <f t="shared" si="169"/>
        <v>NetWaste</v>
      </c>
      <c r="D238" s="503" t="str">
        <f t="shared" si="170"/>
        <v>N</v>
      </c>
      <c r="E238" s="503"/>
      <c r="F238"/>
      <c r="G238" s="379">
        <f t="shared" si="171"/>
        <v>43080</v>
      </c>
      <c r="H238" s="379">
        <f t="shared" si="172"/>
        <v>18326</v>
      </c>
      <c r="I238" s="379">
        <f t="shared" si="173"/>
        <v>368</v>
      </c>
      <c r="J238" s="379" t="str">
        <f t="shared" si="174"/>
        <v>Y</v>
      </c>
      <c r="K238" s="379">
        <f t="shared" si="175"/>
        <v>14710</v>
      </c>
      <c r="L238" s="379">
        <f t="shared" si="176"/>
        <v>0</v>
      </c>
      <c r="M238" s="379">
        <f t="shared" si="177"/>
        <v>14683</v>
      </c>
      <c r="N238" s="379">
        <f t="shared" si="178"/>
        <v>0</v>
      </c>
      <c r="O238" s="379">
        <f t="shared" si="179"/>
        <v>13168</v>
      </c>
      <c r="P238" s="379">
        <f t="shared" si="180"/>
        <v>0</v>
      </c>
      <c r="Q238" s="379" t="str">
        <f t="shared" si="181"/>
        <v>Y</v>
      </c>
      <c r="R238" s="379" t="str">
        <f t="shared" si="182"/>
        <v>Bathurst WMC</v>
      </c>
      <c r="S238" s="379" t="str">
        <f t="shared" si="183"/>
        <v>Sofala T/station</v>
      </c>
      <c r="T238" s="379" t="str">
        <f t="shared" si="184"/>
        <v>Sunny Corner T/station</v>
      </c>
      <c r="U238" s="379" t="str">
        <f t="shared" si="185"/>
        <v>Rockley T/station</v>
      </c>
      <c r="V238" s="379" t="str">
        <f t="shared" si="186"/>
        <v>Trunkey Creek T/station</v>
      </c>
      <c r="W238" s="379" t="str">
        <f t="shared" si="187"/>
        <v>Hill End tip</v>
      </c>
      <c r="X238" s="379">
        <f t="shared" si="188"/>
        <v>0</v>
      </c>
      <c r="Y238" s="379">
        <f t="shared" si="189"/>
        <v>0</v>
      </c>
      <c r="Z238" s="379">
        <f t="shared" si="190"/>
        <v>0</v>
      </c>
      <c r="AA238" s="379">
        <f t="shared" si="191"/>
        <v>0</v>
      </c>
      <c r="AB238" s="379">
        <f t="shared" si="192"/>
        <v>0</v>
      </c>
      <c r="AC238" s="379">
        <f t="shared" si="193"/>
        <v>0</v>
      </c>
      <c r="AD238" s="379">
        <f t="shared" si="194"/>
        <v>0</v>
      </c>
      <c r="AE238" s="379">
        <f t="shared" si="195"/>
        <v>0</v>
      </c>
      <c r="AF238" s="379">
        <f t="shared" si="196"/>
        <v>0</v>
      </c>
      <c r="AG238" s="379">
        <f t="shared" si="197"/>
        <v>0</v>
      </c>
      <c r="AH238" s="379">
        <f t="shared" si="198"/>
        <v>0</v>
      </c>
      <c r="AI238" s="379">
        <f t="shared" si="199"/>
        <v>0</v>
      </c>
      <c r="AJ238" s="379">
        <f t="shared" si="200"/>
        <v>0</v>
      </c>
      <c r="AK238" s="379">
        <f t="shared" si="201"/>
        <v>0</v>
      </c>
      <c r="AL238" s="379">
        <f t="shared" si="202"/>
        <v>0</v>
      </c>
      <c r="AM238" s="379">
        <f t="shared" si="203"/>
        <v>0</v>
      </c>
      <c r="AN238" s="490">
        <f t="shared" si="204"/>
        <v>0</v>
      </c>
      <c r="AO238" s="379">
        <f t="shared" si="205"/>
        <v>0</v>
      </c>
      <c r="AP238" s="379">
        <f t="shared" si="206"/>
        <v>0</v>
      </c>
      <c r="AQ238" s="379">
        <f t="shared" si="207"/>
        <v>0</v>
      </c>
      <c r="AR238" s="379">
        <f t="shared" si="208"/>
        <v>0</v>
      </c>
      <c r="AS238" s="379">
        <f t="shared" si="209"/>
        <v>0</v>
      </c>
      <c r="AT238" s="379">
        <f t="shared" si="210"/>
        <v>0</v>
      </c>
      <c r="AU238" s="379">
        <f t="shared" si="211"/>
        <v>0</v>
      </c>
      <c r="AV238" s="379">
        <f t="shared" si="212"/>
        <v>0</v>
      </c>
      <c r="AW238" s="379">
        <f t="shared" si="213"/>
        <v>0</v>
      </c>
      <c r="AX238" s="379">
        <f t="shared" si="214"/>
        <v>0</v>
      </c>
      <c r="AY238" s="379">
        <f t="shared" si="215"/>
        <v>0</v>
      </c>
    </row>
    <row r="239" spans="1:51" x14ac:dyDescent="0.2">
      <c r="A239" s="376">
        <v>10550</v>
      </c>
      <c r="B239" s="378" t="str">
        <f t="shared" si="168"/>
        <v>Bega Valley (A)</v>
      </c>
      <c r="C239" s="377" t="str">
        <f t="shared" si="169"/>
        <v>CBRJO</v>
      </c>
      <c r="D239" s="503" t="str">
        <f t="shared" si="170"/>
        <v>N</v>
      </c>
      <c r="E239" s="503"/>
      <c r="F239"/>
      <c r="G239" s="379">
        <f t="shared" si="171"/>
        <v>33662</v>
      </c>
      <c r="H239" s="379">
        <f t="shared" si="172"/>
        <v>17457</v>
      </c>
      <c r="I239" s="379">
        <f t="shared" si="173"/>
        <v>402.5</v>
      </c>
      <c r="J239" s="379" t="str">
        <f t="shared" si="174"/>
        <v>Y</v>
      </c>
      <c r="K239" s="379">
        <f t="shared" si="175"/>
        <v>16100</v>
      </c>
      <c r="L239" s="379">
        <f t="shared" si="176"/>
        <v>0</v>
      </c>
      <c r="M239" s="379">
        <f t="shared" si="177"/>
        <v>16100</v>
      </c>
      <c r="N239" s="379">
        <f t="shared" si="178"/>
        <v>12000</v>
      </c>
      <c r="O239" s="379">
        <f t="shared" si="179"/>
        <v>0</v>
      </c>
      <c r="P239" s="379">
        <f t="shared" si="180"/>
        <v>0</v>
      </c>
      <c r="Q239" s="379" t="str">
        <f t="shared" si="181"/>
        <v>Y</v>
      </c>
      <c r="R239" s="379" t="str">
        <f t="shared" si="182"/>
        <v>Merimbula</v>
      </c>
      <c r="S239" s="379" t="str">
        <f t="shared" si="183"/>
        <v>Bermagui</v>
      </c>
      <c r="T239" s="379" t="str">
        <f t="shared" si="184"/>
        <v>Eden</v>
      </c>
      <c r="U239" s="379" t="str">
        <f t="shared" si="185"/>
        <v>Wallagoot</v>
      </c>
      <c r="V239" s="379" t="str">
        <f t="shared" si="186"/>
        <v>Rural TS</v>
      </c>
      <c r="W239" s="379">
        <f t="shared" si="187"/>
        <v>0</v>
      </c>
      <c r="X239" s="379">
        <f t="shared" si="188"/>
        <v>0</v>
      </c>
      <c r="Y239" s="379">
        <f t="shared" si="189"/>
        <v>0</v>
      </c>
      <c r="Z239" s="379">
        <f t="shared" si="190"/>
        <v>0</v>
      </c>
      <c r="AA239" s="379">
        <f t="shared" si="191"/>
        <v>0</v>
      </c>
      <c r="AB239" s="379">
        <f t="shared" si="192"/>
        <v>0</v>
      </c>
      <c r="AC239" s="379">
        <f t="shared" si="193"/>
        <v>0</v>
      </c>
      <c r="AD239" s="379">
        <f t="shared" si="194"/>
        <v>0</v>
      </c>
      <c r="AE239" s="379">
        <f t="shared" si="195"/>
        <v>0</v>
      </c>
      <c r="AF239" s="379">
        <f t="shared" si="196"/>
        <v>0</v>
      </c>
      <c r="AG239" s="379">
        <f t="shared" si="197"/>
        <v>0</v>
      </c>
      <c r="AH239" s="379">
        <f t="shared" si="198"/>
        <v>0</v>
      </c>
      <c r="AI239" s="379">
        <f t="shared" si="199"/>
        <v>0</v>
      </c>
      <c r="AJ239" s="379">
        <f t="shared" si="200"/>
        <v>0</v>
      </c>
      <c r="AK239" s="379">
        <f t="shared" si="201"/>
        <v>0</v>
      </c>
      <c r="AL239" s="379">
        <f t="shared" si="202"/>
        <v>0</v>
      </c>
      <c r="AM239" s="379">
        <f t="shared" si="203"/>
        <v>0</v>
      </c>
      <c r="AN239" s="490">
        <f t="shared" si="204"/>
        <v>0</v>
      </c>
      <c r="AO239" s="379">
        <f t="shared" si="205"/>
        <v>0</v>
      </c>
      <c r="AP239" s="379">
        <f t="shared" si="206"/>
        <v>0</v>
      </c>
      <c r="AQ239" s="379">
        <f t="shared" si="207"/>
        <v>0</v>
      </c>
      <c r="AR239" s="379">
        <f t="shared" si="208"/>
        <v>0</v>
      </c>
      <c r="AS239" s="379">
        <f t="shared" si="209"/>
        <v>0</v>
      </c>
      <c r="AT239" s="379">
        <f t="shared" si="210"/>
        <v>0</v>
      </c>
      <c r="AU239" s="379">
        <f t="shared" si="211"/>
        <v>0</v>
      </c>
      <c r="AV239" s="379">
        <f t="shared" si="212"/>
        <v>0</v>
      </c>
      <c r="AW239" s="379">
        <f t="shared" si="213"/>
        <v>0</v>
      </c>
      <c r="AX239" s="379">
        <f t="shared" si="214"/>
        <v>0</v>
      </c>
      <c r="AY239" s="379">
        <f t="shared" si="215"/>
        <v>0</v>
      </c>
    </row>
    <row r="240" spans="1:51" x14ac:dyDescent="0.2">
      <c r="A240" s="376">
        <v>10650</v>
      </c>
      <c r="B240" s="378" t="str">
        <f t="shared" si="168"/>
        <v>Berrigan (A)</v>
      </c>
      <c r="C240" s="377" t="str">
        <f t="shared" si="169"/>
        <v>RAMROC Murray</v>
      </c>
      <c r="D240" s="503" t="str">
        <f t="shared" si="170"/>
        <v>N</v>
      </c>
      <c r="E240" s="503"/>
      <c r="F240"/>
      <c r="G240" s="379">
        <f t="shared" si="171"/>
        <v>8420</v>
      </c>
      <c r="H240" s="379">
        <f t="shared" si="172"/>
        <v>3549</v>
      </c>
      <c r="I240" s="379">
        <f t="shared" si="173"/>
        <v>279</v>
      </c>
      <c r="J240" s="379" t="str">
        <f t="shared" si="174"/>
        <v>Y</v>
      </c>
      <c r="K240" s="379">
        <f t="shared" si="175"/>
        <v>3404</v>
      </c>
      <c r="L240" s="379">
        <f t="shared" si="176"/>
        <v>0</v>
      </c>
      <c r="M240" s="379">
        <f t="shared" si="177"/>
        <v>3404</v>
      </c>
      <c r="N240" s="379">
        <f t="shared" si="178"/>
        <v>0</v>
      </c>
      <c r="O240" s="379">
        <f t="shared" si="179"/>
        <v>0</v>
      </c>
      <c r="P240" s="379">
        <f t="shared" si="180"/>
        <v>0</v>
      </c>
      <c r="Q240" s="379" t="str">
        <f t="shared" si="181"/>
        <v>Y</v>
      </c>
      <c r="R240" s="379" t="str">
        <f t="shared" si="182"/>
        <v>Berrigan Landfill</v>
      </c>
      <c r="S240" s="379" t="str">
        <f t="shared" si="183"/>
        <v>Tocumwal Landfill</v>
      </c>
      <c r="T240" s="379">
        <f t="shared" si="184"/>
        <v>0</v>
      </c>
      <c r="U240" s="379">
        <f t="shared" si="185"/>
        <v>0</v>
      </c>
      <c r="V240" s="379">
        <f t="shared" si="186"/>
        <v>0</v>
      </c>
      <c r="W240" s="379">
        <f t="shared" si="187"/>
        <v>0</v>
      </c>
      <c r="X240" s="379">
        <f t="shared" si="188"/>
        <v>0</v>
      </c>
      <c r="Y240" s="379">
        <f t="shared" si="189"/>
        <v>0</v>
      </c>
      <c r="Z240" s="379">
        <f t="shared" si="190"/>
        <v>0</v>
      </c>
      <c r="AA240" s="379">
        <f t="shared" si="191"/>
        <v>0</v>
      </c>
      <c r="AB240" s="379">
        <f t="shared" si="192"/>
        <v>0</v>
      </c>
      <c r="AC240" s="379">
        <f t="shared" si="193"/>
        <v>0</v>
      </c>
      <c r="AD240" s="379">
        <f t="shared" si="194"/>
        <v>0</v>
      </c>
      <c r="AE240" s="379">
        <f t="shared" si="195"/>
        <v>0</v>
      </c>
      <c r="AF240" s="379">
        <f t="shared" si="196"/>
        <v>0</v>
      </c>
      <c r="AG240" s="379">
        <f t="shared" si="197"/>
        <v>0</v>
      </c>
      <c r="AH240" s="379">
        <f t="shared" si="198"/>
        <v>0</v>
      </c>
      <c r="AI240" s="379">
        <f t="shared" si="199"/>
        <v>0</v>
      </c>
      <c r="AJ240" s="379">
        <f t="shared" si="200"/>
        <v>0</v>
      </c>
      <c r="AK240" s="379">
        <f t="shared" si="201"/>
        <v>0</v>
      </c>
      <c r="AL240" s="379">
        <f t="shared" si="202"/>
        <v>0</v>
      </c>
      <c r="AM240" s="379">
        <f t="shared" si="203"/>
        <v>0</v>
      </c>
      <c r="AN240" s="490">
        <f t="shared" si="204"/>
        <v>0</v>
      </c>
      <c r="AO240" s="379">
        <f t="shared" si="205"/>
        <v>0</v>
      </c>
      <c r="AP240" s="379">
        <f t="shared" si="206"/>
        <v>0</v>
      </c>
      <c r="AQ240" s="379">
        <f t="shared" si="207"/>
        <v>0</v>
      </c>
      <c r="AR240" s="379">
        <f t="shared" si="208"/>
        <v>0</v>
      </c>
      <c r="AS240" s="379">
        <f t="shared" si="209"/>
        <v>0</v>
      </c>
      <c r="AT240" s="379">
        <f t="shared" si="210"/>
        <v>0</v>
      </c>
      <c r="AU240" s="379">
        <f t="shared" si="211"/>
        <v>0</v>
      </c>
      <c r="AV240" s="379">
        <f t="shared" si="212"/>
        <v>0</v>
      </c>
      <c r="AW240" s="379">
        <f t="shared" si="213"/>
        <v>0</v>
      </c>
      <c r="AX240" s="379">
        <f t="shared" si="214"/>
        <v>0</v>
      </c>
      <c r="AY240" s="379">
        <f t="shared" si="215"/>
        <v>0</v>
      </c>
    </row>
    <row r="241" spans="1:51" x14ac:dyDescent="0.2">
      <c r="A241" s="376">
        <v>10800</v>
      </c>
      <c r="B241" s="378" t="str">
        <f t="shared" si="168"/>
        <v>Bland (A)</v>
      </c>
      <c r="C241" s="377" t="str">
        <f t="shared" si="169"/>
        <v>REROC</v>
      </c>
      <c r="D241" s="503" t="str">
        <f t="shared" si="170"/>
        <v>N</v>
      </c>
      <c r="E241" s="503"/>
      <c r="F241"/>
      <c r="G241" s="379">
        <f t="shared" si="171"/>
        <v>5917</v>
      </c>
      <c r="H241" s="379">
        <f t="shared" si="172"/>
        <v>3516</v>
      </c>
      <c r="I241" s="379">
        <f t="shared" si="173"/>
        <v>344</v>
      </c>
      <c r="J241" s="379" t="str">
        <f t="shared" si="174"/>
        <v>Y</v>
      </c>
      <c r="K241" s="379">
        <f t="shared" si="175"/>
        <v>2140</v>
      </c>
      <c r="L241" s="379">
        <f t="shared" si="176"/>
        <v>0</v>
      </c>
      <c r="M241" s="379">
        <f t="shared" si="177"/>
        <v>0</v>
      </c>
      <c r="N241" s="379">
        <f t="shared" si="178"/>
        <v>0</v>
      </c>
      <c r="O241" s="379">
        <f t="shared" si="179"/>
        <v>0</v>
      </c>
      <c r="P241" s="379">
        <f t="shared" si="180"/>
        <v>0</v>
      </c>
      <c r="Q241" s="379" t="str">
        <f t="shared" si="181"/>
        <v>Y</v>
      </c>
      <c r="R241" s="379" t="str">
        <f t="shared" si="182"/>
        <v>West Wyalong Landfill</v>
      </c>
      <c r="S241" s="379">
        <f t="shared" si="183"/>
        <v>0</v>
      </c>
      <c r="T241" s="379">
        <f t="shared" si="184"/>
        <v>0</v>
      </c>
      <c r="U241" s="379">
        <f t="shared" si="185"/>
        <v>0</v>
      </c>
      <c r="V241" s="379">
        <f t="shared" si="186"/>
        <v>0</v>
      </c>
      <c r="W241" s="379">
        <f t="shared" si="187"/>
        <v>0</v>
      </c>
      <c r="X241" s="379">
        <f t="shared" si="188"/>
        <v>0</v>
      </c>
      <c r="Y241" s="379">
        <f t="shared" si="189"/>
        <v>0</v>
      </c>
      <c r="Z241" s="379">
        <f t="shared" si="190"/>
        <v>0</v>
      </c>
      <c r="AA241" s="379">
        <f t="shared" si="191"/>
        <v>0</v>
      </c>
      <c r="AB241" s="379">
        <f t="shared" si="192"/>
        <v>0</v>
      </c>
      <c r="AC241" s="379">
        <f t="shared" si="193"/>
        <v>0</v>
      </c>
      <c r="AD241" s="379">
        <f t="shared" si="194"/>
        <v>0</v>
      </c>
      <c r="AE241" s="379">
        <f t="shared" si="195"/>
        <v>0</v>
      </c>
      <c r="AF241" s="379">
        <f t="shared" si="196"/>
        <v>0</v>
      </c>
      <c r="AG241" s="379">
        <f t="shared" si="197"/>
        <v>0</v>
      </c>
      <c r="AH241" s="379">
        <f t="shared" si="198"/>
        <v>0</v>
      </c>
      <c r="AI241" s="379">
        <f t="shared" si="199"/>
        <v>0</v>
      </c>
      <c r="AJ241" s="379">
        <f t="shared" si="200"/>
        <v>0</v>
      </c>
      <c r="AK241" s="379">
        <f t="shared" si="201"/>
        <v>0</v>
      </c>
      <c r="AL241" s="379">
        <f t="shared" si="202"/>
        <v>0</v>
      </c>
      <c r="AM241" s="379">
        <f t="shared" si="203"/>
        <v>0</v>
      </c>
      <c r="AN241" s="490">
        <f t="shared" si="204"/>
        <v>0</v>
      </c>
      <c r="AO241" s="379">
        <f t="shared" si="205"/>
        <v>0</v>
      </c>
      <c r="AP241" s="379">
        <f t="shared" si="206"/>
        <v>0</v>
      </c>
      <c r="AQ241" s="379">
        <f t="shared" si="207"/>
        <v>0</v>
      </c>
      <c r="AR241" s="379">
        <f t="shared" si="208"/>
        <v>0</v>
      </c>
      <c r="AS241" s="379">
        <f t="shared" si="209"/>
        <v>0</v>
      </c>
      <c r="AT241" s="379">
        <f t="shared" si="210"/>
        <v>0</v>
      </c>
      <c r="AU241" s="379">
        <f t="shared" si="211"/>
        <v>0</v>
      </c>
      <c r="AV241" s="379">
        <f t="shared" si="212"/>
        <v>0</v>
      </c>
      <c r="AW241" s="379">
        <f t="shared" si="213"/>
        <v>0</v>
      </c>
      <c r="AX241" s="379">
        <f t="shared" si="214"/>
        <v>0</v>
      </c>
      <c r="AY241" s="379">
        <f t="shared" si="215"/>
        <v>0</v>
      </c>
    </row>
    <row r="242" spans="1:51" x14ac:dyDescent="0.2">
      <c r="A242" s="376">
        <v>10850</v>
      </c>
      <c r="B242" s="378" t="str">
        <f t="shared" si="168"/>
        <v>Blayney (A)</v>
      </c>
      <c r="C242" s="377" t="str">
        <f t="shared" si="169"/>
        <v>NetWaste</v>
      </c>
      <c r="D242" s="503" t="str">
        <f t="shared" si="170"/>
        <v>N</v>
      </c>
      <c r="E242" s="503"/>
      <c r="F242"/>
      <c r="G242" s="379">
        <f t="shared" si="171"/>
        <v>7457</v>
      </c>
      <c r="H242" s="379">
        <f t="shared" si="172"/>
        <v>3550</v>
      </c>
      <c r="I242" s="379">
        <f t="shared" si="173"/>
        <v>412</v>
      </c>
      <c r="J242" s="379" t="str">
        <f t="shared" si="174"/>
        <v>Y</v>
      </c>
      <c r="K242" s="379">
        <f t="shared" si="175"/>
        <v>3452</v>
      </c>
      <c r="L242" s="379">
        <f t="shared" si="176"/>
        <v>0</v>
      </c>
      <c r="M242" s="379">
        <f t="shared" si="177"/>
        <v>2521</v>
      </c>
      <c r="N242" s="379">
        <f t="shared" si="178"/>
        <v>0</v>
      </c>
      <c r="O242" s="379">
        <f t="shared" si="179"/>
        <v>0</v>
      </c>
      <c r="P242" s="379" t="str">
        <f t="shared" si="180"/>
        <v>Y</v>
      </c>
      <c r="Q242" s="379" t="str">
        <f t="shared" si="181"/>
        <v>Y</v>
      </c>
      <c r="R242" s="379" t="str">
        <f t="shared" si="182"/>
        <v>Blayney Waste Facility</v>
      </c>
      <c r="S242" s="379">
        <f t="shared" si="183"/>
        <v>0</v>
      </c>
      <c r="T242" s="379">
        <f t="shared" si="184"/>
        <v>0</v>
      </c>
      <c r="U242" s="379">
        <f t="shared" si="185"/>
        <v>0</v>
      </c>
      <c r="V242" s="379">
        <f t="shared" si="186"/>
        <v>0</v>
      </c>
      <c r="W242" s="379">
        <f t="shared" si="187"/>
        <v>0</v>
      </c>
      <c r="X242" s="379">
        <f t="shared" si="188"/>
        <v>0</v>
      </c>
      <c r="Y242" s="379">
        <f t="shared" si="189"/>
        <v>0</v>
      </c>
      <c r="Z242" s="379">
        <f t="shared" si="190"/>
        <v>0</v>
      </c>
      <c r="AA242" s="379">
        <f t="shared" si="191"/>
        <v>0</v>
      </c>
      <c r="AB242" s="379">
        <f t="shared" si="192"/>
        <v>0</v>
      </c>
      <c r="AC242" s="379">
        <f t="shared" si="193"/>
        <v>0</v>
      </c>
      <c r="AD242" s="379">
        <f t="shared" si="194"/>
        <v>0</v>
      </c>
      <c r="AE242" s="379">
        <f t="shared" si="195"/>
        <v>0</v>
      </c>
      <c r="AF242" s="379">
        <f t="shared" si="196"/>
        <v>0</v>
      </c>
      <c r="AG242" s="379">
        <f t="shared" si="197"/>
        <v>0</v>
      </c>
      <c r="AH242" s="379">
        <f t="shared" si="198"/>
        <v>0</v>
      </c>
      <c r="AI242" s="379">
        <f t="shared" si="199"/>
        <v>0</v>
      </c>
      <c r="AJ242" s="379">
        <f t="shared" si="200"/>
        <v>0</v>
      </c>
      <c r="AK242" s="379">
        <f t="shared" si="201"/>
        <v>0</v>
      </c>
      <c r="AL242" s="379">
        <f t="shared" si="202"/>
        <v>0</v>
      </c>
      <c r="AM242" s="379">
        <f t="shared" si="203"/>
        <v>0</v>
      </c>
      <c r="AN242" s="490">
        <f t="shared" si="204"/>
        <v>0</v>
      </c>
      <c r="AO242" s="379">
        <f t="shared" si="205"/>
        <v>0</v>
      </c>
      <c r="AP242" s="379">
        <f t="shared" si="206"/>
        <v>0</v>
      </c>
      <c r="AQ242" s="379">
        <f t="shared" si="207"/>
        <v>0</v>
      </c>
      <c r="AR242" s="379">
        <f t="shared" si="208"/>
        <v>0</v>
      </c>
      <c r="AS242" s="379">
        <f t="shared" si="209"/>
        <v>0</v>
      </c>
      <c r="AT242" s="379">
        <f t="shared" si="210"/>
        <v>0</v>
      </c>
      <c r="AU242" s="379">
        <f t="shared" si="211"/>
        <v>0</v>
      </c>
      <c r="AV242" s="379">
        <f t="shared" si="212"/>
        <v>0</v>
      </c>
      <c r="AW242" s="379">
        <f t="shared" si="213"/>
        <v>0</v>
      </c>
      <c r="AX242" s="379">
        <f t="shared" si="214"/>
        <v>0</v>
      </c>
      <c r="AY242" s="379">
        <f t="shared" si="215"/>
        <v>0</v>
      </c>
    </row>
    <row r="243" spans="1:51" x14ac:dyDescent="0.2">
      <c r="A243" s="376">
        <v>10950</v>
      </c>
      <c r="B243" s="378" t="str">
        <f t="shared" si="168"/>
        <v>Bogan (A)</v>
      </c>
      <c r="C243" s="377" t="str">
        <f t="shared" si="169"/>
        <v>NetWaste</v>
      </c>
      <c r="D243" s="503" t="str">
        <f t="shared" si="170"/>
        <v>N</v>
      </c>
      <c r="E243" s="503"/>
      <c r="F243"/>
      <c r="G243" s="379">
        <f t="shared" si="171"/>
        <v>3007</v>
      </c>
      <c r="H243" s="379">
        <f t="shared" si="172"/>
        <v>5810</v>
      </c>
      <c r="I243" s="379">
        <f t="shared" si="173"/>
        <v>218</v>
      </c>
      <c r="J243" s="379" t="str">
        <f t="shared" si="174"/>
        <v>Y</v>
      </c>
      <c r="K243" s="379">
        <f t="shared" si="175"/>
        <v>1701</v>
      </c>
      <c r="L243" s="379">
        <f t="shared" si="176"/>
        <v>0</v>
      </c>
      <c r="M243" s="379">
        <f t="shared" si="177"/>
        <v>1701</v>
      </c>
      <c r="N243" s="379">
        <f t="shared" si="178"/>
        <v>0</v>
      </c>
      <c r="O243" s="379">
        <f t="shared" si="179"/>
        <v>0</v>
      </c>
      <c r="P243" s="379">
        <f t="shared" si="180"/>
        <v>0</v>
      </c>
      <c r="Q243" s="379" t="str">
        <f t="shared" si="181"/>
        <v>Y</v>
      </c>
      <c r="R243" s="379" t="str">
        <f t="shared" si="182"/>
        <v>Nyngan Waste Facility</v>
      </c>
      <c r="S243" s="379">
        <f t="shared" si="183"/>
        <v>0</v>
      </c>
      <c r="T243" s="379">
        <f t="shared" si="184"/>
        <v>0</v>
      </c>
      <c r="U243" s="379">
        <f t="shared" si="185"/>
        <v>0</v>
      </c>
      <c r="V243" s="379">
        <f t="shared" si="186"/>
        <v>0</v>
      </c>
      <c r="W243" s="379">
        <f t="shared" si="187"/>
        <v>0</v>
      </c>
      <c r="X243" s="379">
        <f t="shared" si="188"/>
        <v>0</v>
      </c>
      <c r="Y243" s="379">
        <f t="shared" si="189"/>
        <v>0</v>
      </c>
      <c r="Z243" s="379">
        <f t="shared" si="190"/>
        <v>0</v>
      </c>
      <c r="AA243" s="379">
        <f t="shared" si="191"/>
        <v>0</v>
      </c>
      <c r="AB243" s="379">
        <f t="shared" si="192"/>
        <v>0</v>
      </c>
      <c r="AC243" s="379">
        <f t="shared" si="193"/>
        <v>0</v>
      </c>
      <c r="AD243" s="379">
        <f t="shared" si="194"/>
        <v>0</v>
      </c>
      <c r="AE243" s="379">
        <f t="shared" si="195"/>
        <v>0</v>
      </c>
      <c r="AF243" s="379">
        <f t="shared" si="196"/>
        <v>0</v>
      </c>
      <c r="AG243" s="379">
        <f t="shared" si="197"/>
        <v>0</v>
      </c>
      <c r="AH243" s="379">
        <f t="shared" si="198"/>
        <v>0</v>
      </c>
      <c r="AI243" s="379">
        <f t="shared" si="199"/>
        <v>0</v>
      </c>
      <c r="AJ243" s="379">
        <f t="shared" si="200"/>
        <v>0</v>
      </c>
      <c r="AK243" s="379">
        <f t="shared" si="201"/>
        <v>0</v>
      </c>
      <c r="AL243" s="379">
        <f t="shared" si="202"/>
        <v>0</v>
      </c>
      <c r="AM243" s="379">
        <f t="shared" si="203"/>
        <v>0</v>
      </c>
      <c r="AN243" s="490">
        <f t="shared" si="204"/>
        <v>0</v>
      </c>
      <c r="AO243" s="379">
        <f t="shared" si="205"/>
        <v>0</v>
      </c>
      <c r="AP243" s="379">
        <f t="shared" si="206"/>
        <v>0</v>
      </c>
      <c r="AQ243" s="379">
        <f t="shared" si="207"/>
        <v>0</v>
      </c>
      <c r="AR243" s="379">
        <f t="shared" si="208"/>
        <v>0</v>
      </c>
      <c r="AS243" s="379">
        <f t="shared" si="209"/>
        <v>0</v>
      </c>
      <c r="AT243" s="379">
        <f t="shared" si="210"/>
        <v>0</v>
      </c>
      <c r="AU243" s="379">
        <f t="shared" si="211"/>
        <v>0</v>
      </c>
      <c r="AV243" s="379">
        <f t="shared" si="212"/>
        <v>0</v>
      </c>
      <c r="AW243" s="379">
        <f t="shared" si="213"/>
        <v>0</v>
      </c>
      <c r="AX243" s="379">
        <f t="shared" si="214"/>
        <v>0</v>
      </c>
      <c r="AY243" s="379">
        <f t="shared" si="215"/>
        <v>0</v>
      </c>
    </row>
    <row r="244" spans="1:51" x14ac:dyDescent="0.2">
      <c r="A244" s="376">
        <v>11150</v>
      </c>
      <c r="B244" s="378" t="str">
        <f t="shared" si="168"/>
        <v>Bourke (A)</v>
      </c>
      <c r="C244" s="377" t="str">
        <f t="shared" si="169"/>
        <v>NetWaste</v>
      </c>
      <c r="D244" s="503" t="str">
        <f t="shared" si="170"/>
        <v>N</v>
      </c>
      <c r="E244" s="503"/>
      <c r="F244"/>
      <c r="G244" s="379">
        <f t="shared" si="171"/>
        <v>2814</v>
      </c>
      <c r="H244" s="379">
        <f t="shared" si="172"/>
        <v>938</v>
      </c>
      <c r="I244" s="379">
        <f t="shared" si="173"/>
        <v>279</v>
      </c>
      <c r="J244" s="379" t="str">
        <f t="shared" si="174"/>
        <v>Y</v>
      </c>
      <c r="K244" s="379">
        <f t="shared" si="175"/>
        <v>928</v>
      </c>
      <c r="L244" s="379">
        <f t="shared" si="176"/>
        <v>0</v>
      </c>
      <c r="M244" s="379">
        <f t="shared" si="177"/>
        <v>0</v>
      </c>
      <c r="N244" s="379">
        <f t="shared" si="178"/>
        <v>0</v>
      </c>
      <c r="O244" s="379">
        <f t="shared" si="179"/>
        <v>0</v>
      </c>
      <c r="P244" s="379">
        <f t="shared" si="180"/>
        <v>0</v>
      </c>
      <c r="Q244" s="379">
        <f t="shared" si="181"/>
        <v>0</v>
      </c>
      <c r="R244" s="379">
        <f t="shared" si="182"/>
        <v>0</v>
      </c>
      <c r="S244" s="379">
        <f t="shared" si="183"/>
        <v>0</v>
      </c>
      <c r="T244" s="379">
        <f t="shared" si="184"/>
        <v>0</v>
      </c>
      <c r="U244" s="379">
        <f t="shared" si="185"/>
        <v>0</v>
      </c>
      <c r="V244" s="379">
        <f t="shared" si="186"/>
        <v>0</v>
      </c>
      <c r="W244" s="379">
        <f t="shared" si="187"/>
        <v>0</v>
      </c>
      <c r="X244" s="379">
        <f t="shared" si="188"/>
        <v>0</v>
      </c>
      <c r="Y244" s="379">
        <f t="shared" si="189"/>
        <v>0</v>
      </c>
      <c r="Z244" s="379">
        <f t="shared" si="190"/>
        <v>0</v>
      </c>
      <c r="AA244" s="379">
        <f t="shared" si="191"/>
        <v>0</v>
      </c>
      <c r="AB244" s="379">
        <f t="shared" si="192"/>
        <v>0</v>
      </c>
      <c r="AC244" s="379">
        <f t="shared" si="193"/>
        <v>0</v>
      </c>
      <c r="AD244" s="379">
        <f t="shared" si="194"/>
        <v>0</v>
      </c>
      <c r="AE244" s="379">
        <f t="shared" si="195"/>
        <v>0</v>
      </c>
      <c r="AF244" s="379">
        <f t="shared" si="196"/>
        <v>0</v>
      </c>
      <c r="AG244" s="379">
        <f t="shared" si="197"/>
        <v>0</v>
      </c>
      <c r="AH244" s="379">
        <f t="shared" si="198"/>
        <v>0</v>
      </c>
      <c r="AI244" s="379">
        <f t="shared" si="199"/>
        <v>0</v>
      </c>
      <c r="AJ244" s="379">
        <f t="shared" si="200"/>
        <v>0</v>
      </c>
      <c r="AK244" s="379">
        <f t="shared" si="201"/>
        <v>0</v>
      </c>
      <c r="AL244" s="379">
        <f t="shared" si="202"/>
        <v>0</v>
      </c>
      <c r="AM244" s="379">
        <f t="shared" si="203"/>
        <v>0</v>
      </c>
      <c r="AN244" s="490">
        <f t="shared" si="204"/>
        <v>0</v>
      </c>
      <c r="AO244" s="379">
        <f t="shared" si="205"/>
        <v>0</v>
      </c>
      <c r="AP244" s="379">
        <f t="shared" si="206"/>
        <v>0</v>
      </c>
      <c r="AQ244" s="379">
        <f t="shared" si="207"/>
        <v>0</v>
      </c>
      <c r="AR244" s="379">
        <f t="shared" si="208"/>
        <v>0</v>
      </c>
      <c r="AS244" s="379">
        <f t="shared" si="209"/>
        <v>0</v>
      </c>
      <c r="AT244" s="379">
        <f t="shared" si="210"/>
        <v>0</v>
      </c>
      <c r="AU244" s="379">
        <f t="shared" si="211"/>
        <v>0</v>
      </c>
      <c r="AV244" s="379">
        <f t="shared" si="212"/>
        <v>0</v>
      </c>
      <c r="AW244" s="379">
        <f t="shared" si="213"/>
        <v>0</v>
      </c>
      <c r="AX244" s="379">
        <f t="shared" si="214"/>
        <v>0</v>
      </c>
      <c r="AY244" s="379">
        <f t="shared" si="215"/>
        <v>0</v>
      </c>
    </row>
    <row r="245" spans="1:51" x14ac:dyDescent="0.2">
      <c r="A245" s="376">
        <v>11200</v>
      </c>
      <c r="B245" s="378" t="str">
        <f t="shared" si="168"/>
        <v>Brewarrina (A)</v>
      </c>
      <c r="C245" s="377" t="str">
        <f t="shared" si="169"/>
        <v>NetWaste</v>
      </c>
      <c r="D245" s="503" t="str">
        <f t="shared" si="170"/>
        <v>N</v>
      </c>
      <c r="E245" s="503"/>
      <c r="F245"/>
      <c r="G245" s="379">
        <f t="shared" si="171"/>
        <v>1875</v>
      </c>
      <c r="H245" s="379">
        <f t="shared" si="172"/>
        <v>899</v>
      </c>
      <c r="I245" s="379">
        <f t="shared" si="173"/>
        <v>444</v>
      </c>
      <c r="J245" s="379" t="str">
        <f t="shared" si="174"/>
        <v>Y</v>
      </c>
      <c r="K245" s="379">
        <f t="shared" si="175"/>
        <v>814</v>
      </c>
      <c r="L245" s="379">
        <f t="shared" si="176"/>
        <v>0</v>
      </c>
      <c r="M245" s="379">
        <f t="shared" si="177"/>
        <v>0</v>
      </c>
      <c r="N245" s="379">
        <f t="shared" si="178"/>
        <v>0</v>
      </c>
      <c r="O245" s="379">
        <f t="shared" si="179"/>
        <v>0</v>
      </c>
      <c r="P245" s="379">
        <f t="shared" si="180"/>
        <v>0</v>
      </c>
      <c r="Q245" s="379" t="str">
        <f t="shared" si="181"/>
        <v>Y</v>
      </c>
      <c r="R245" s="379" t="str">
        <f t="shared" si="182"/>
        <v>Brewarrina Waste Depot</v>
      </c>
      <c r="S245" s="379" t="str">
        <f t="shared" si="183"/>
        <v>Goodooga Waste Depot</v>
      </c>
      <c r="T245" s="379" t="str">
        <f t="shared" si="184"/>
        <v>Angledool Waste depot</v>
      </c>
      <c r="U245" s="379" t="str">
        <f t="shared" si="185"/>
        <v>Weilmoringle Waste depot</v>
      </c>
      <c r="V245" s="379">
        <f t="shared" si="186"/>
        <v>0</v>
      </c>
      <c r="W245" s="379">
        <f t="shared" si="187"/>
        <v>0</v>
      </c>
      <c r="X245" s="379">
        <f t="shared" si="188"/>
        <v>0</v>
      </c>
      <c r="Y245" s="379">
        <f t="shared" si="189"/>
        <v>0</v>
      </c>
      <c r="Z245" s="379">
        <f t="shared" si="190"/>
        <v>0</v>
      </c>
      <c r="AA245" s="379">
        <f t="shared" si="191"/>
        <v>0</v>
      </c>
      <c r="AB245" s="379">
        <f t="shared" si="192"/>
        <v>0</v>
      </c>
      <c r="AC245" s="379">
        <f t="shared" si="193"/>
        <v>0</v>
      </c>
      <c r="AD245" s="379">
        <f t="shared" si="194"/>
        <v>0</v>
      </c>
      <c r="AE245" s="379">
        <f t="shared" si="195"/>
        <v>0</v>
      </c>
      <c r="AF245" s="379">
        <f t="shared" si="196"/>
        <v>0</v>
      </c>
      <c r="AG245" s="379">
        <f t="shared" si="197"/>
        <v>0</v>
      </c>
      <c r="AH245" s="379">
        <f t="shared" si="198"/>
        <v>0</v>
      </c>
      <c r="AI245" s="379">
        <f t="shared" si="199"/>
        <v>0</v>
      </c>
      <c r="AJ245" s="379">
        <f t="shared" si="200"/>
        <v>0</v>
      </c>
      <c r="AK245" s="379">
        <f t="shared" si="201"/>
        <v>0</v>
      </c>
      <c r="AL245" s="379">
        <f t="shared" si="202"/>
        <v>0</v>
      </c>
      <c r="AM245" s="379">
        <f t="shared" si="203"/>
        <v>0</v>
      </c>
      <c r="AN245" s="490">
        <f t="shared" si="204"/>
        <v>0</v>
      </c>
      <c r="AO245" s="379">
        <f t="shared" si="205"/>
        <v>0</v>
      </c>
      <c r="AP245" s="379">
        <f t="shared" si="206"/>
        <v>0</v>
      </c>
      <c r="AQ245" s="379">
        <f t="shared" si="207"/>
        <v>0</v>
      </c>
      <c r="AR245" s="379">
        <f t="shared" si="208"/>
        <v>0</v>
      </c>
      <c r="AS245" s="379">
        <f t="shared" si="209"/>
        <v>0</v>
      </c>
      <c r="AT245" s="379">
        <f t="shared" si="210"/>
        <v>0</v>
      </c>
      <c r="AU245" s="379">
        <f t="shared" si="211"/>
        <v>0</v>
      </c>
      <c r="AV245" s="379">
        <f t="shared" si="212"/>
        <v>0</v>
      </c>
      <c r="AW245" s="379">
        <f t="shared" si="213"/>
        <v>0</v>
      </c>
      <c r="AX245" s="379">
        <f t="shared" si="214"/>
        <v>0</v>
      </c>
      <c r="AY245" s="379">
        <f t="shared" si="215"/>
        <v>0</v>
      </c>
    </row>
    <row r="246" spans="1:51" x14ac:dyDescent="0.2">
      <c r="A246" s="376">
        <v>11250</v>
      </c>
      <c r="B246" s="378" t="str">
        <f t="shared" si="168"/>
        <v>Broken Hill (C)</v>
      </c>
      <c r="C246" s="377" t="str">
        <f t="shared" si="169"/>
        <v>NetWaste</v>
      </c>
      <c r="D246" s="503" t="str">
        <f t="shared" si="170"/>
        <v>N</v>
      </c>
      <c r="E246" s="503"/>
      <c r="F246"/>
      <c r="G246" s="379">
        <f t="shared" si="171"/>
        <v>18557</v>
      </c>
      <c r="H246" s="379">
        <f t="shared" si="172"/>
        <v>9460</v>
      </c>
      <c r="I246" s="379">
        <f t="shared" si="173"/>
        <v>252</v>
      </c>
      <c r="J246" s="379" t="str">
        <f t="shared" si="174"/>
        <v>Y</v>
      </c>
      <c r="K246" s="379">
        <f t="shared" si="175"/>
        <v>9767</v>
      </c>
      <c r="L246" s="379">
        <f t="shared" si="176"/>
        <v>0</v>
      </c>
      <c r="M246" s="379">
        <f t="shared" si="177"/>
        <v>0</v>
      </c>
      <c r="N246" s="379">
        <f t="shared" si="178"/>
        <v>0</v>
      </c>
      <c r="O246" s="379">
        <f t="shared" si="179"/>
        <v>8600</v>
      </c>
      <c r="P246" s="379">
        <f t="shared" si="180"/>
        <v>0</v>
      </c>
      <c r="Q246" s="379" t="str">
        <f t="shared" si="181"/>
        <v>Y</v>
      </c>
      <c r="R246" s="379" t="str">
        <f t="shared" si="182"/>
        <v xml:space="preserve">Broken Hill Waste Management Facility </v>
      </c>
      <c r="S246" s="379">
        <f t="shared" si="183"/>
        <v>0</v>
      </c>
      <c r="T246" s="379">
        <f t="shared" si="184"/>
        <v>0</v>
      </c>
      <c r="U246" s="379">
        <f t="shared" si="185"/>
        <v>0</v>
      </c>
      <c r="V246" s="379">
        <f t="shared" si="186"/>
        <v>0</v>
      </c>
      <c r="W246" s="379">
        <f t="shared" si="187"/>
        <v>0</v>
      </c>
      <c r="X246" s="379">
        <f t="shared" si="188"/>
        <v>0</v>
      </c>
      <c r="Y246" s="379">
        <f t="shared" si="189"/>
        <v>0</v>
      </c>
      <c r="Z246" s="379">
        <f t="shared" si="190"/>
        <v>0</v>
      </c>
      <c r="AA246" s="379">
        <f t="shared" si="191"/>
        <v>0</v>
      </c>
      <c r="AB246" s="379">
        <f t="shared" si="192"/>
        <v>0</v>
      </c>
      <c r="AC246" s="379">
        <f t="shared" si="193"/>
        <v>0</v>
      </c>
      <c r="AD246" s="379">
        <f t="shared" si="194"/>
        <v>0</v>
      </c>
      <c r="AE246" s="379">
        <f t="shared" si="195"/>
        <v>0</v>
      </c>
      <c r="AF246" s="379">
        <f t="shared" si="196"/>
        <v>0</v>
      </c>
      <c r="AG246" s="379">
        <f t="shared" si="197"/>
        <v>0</v>
      </c>
      <c r="AH246" s="379">
        <f t="shared" si="198"/>
        <v>0</v>
      </c>
      <c r="AI246" s="379">
        <f t="shared" si="199"/>
        <v>0</v>
      </c>
      <c r="AJ246" s="379">
        <f t="shared" si="200"/>
        <v>0</v>
      </c>
      <c r="AK246" s="379">
        <f t="shared" si="201"/>
        <v>0</v>
      </c>
      <c r="AL246" s="379">
        <f t="shared" si="202"/>
        <v>0</v>
      </c>
      <c r="AM246" s="379">
        <f t="shared" si="203"/>
        <v>0</v>
      </c>
      <c r="AN246" s="490">
        <f t="shared" si="204"/>
        <v>0</v>
      </c>
      <c r="AO246" s="379">
        <f t="shared" si="205"/>
        <v>0</v>
      </c>
      <c r="AP246" s="379">
        <f t="shared" si="206"/>
        <v>0</v>
      </c>
      <c r="AQ246" s="379">
        <f t="shared" si="207"/>
        <v>0</v>
      </c>
      <c r="AR246" s="379">
        <f t="shared" si="208"/>
        <v>0</v>
      </c>
      <c r="AS246" s="379">
        <f t="shared" si="209"/>
        <v>0</v>
      </c>
      <c r="AT246" s="379">
        <f t="shared" si="210"/>
        <v>0</v>
      </c>
      <c r="AU246" s="379">
        <f t="shared" si="211"/>
        <v>0</v>
      </c>
      <c r="AV246" s="379">
        <f t="shared" si="212"/>
        <v>0</v>
      </c>
      <c r="AW246" s="379">
        <f t="shared" si="213"/>
        <v>0</v>
      </c>
      <c r="AX246" s="379">
        <f t="shared" si="214"/>
        <v>0</v>
      </c>
      <c r="AY246" s="379">
        <f t="shared" si="215"/>
        <v>0</v>
      </c>
    </row>
    <row r="247" spans="1:51" x14ac:dyDescent="0.2">
      <c r="A247" s="376">
        <v>11400</v>
      </c>
      <c r="B247" s="378" t="str">
        <f t="shared" si="168"/>
        <v>Cabonne (A)</v>
      </c>
      <c r="C247" s="377" t="str">
        <f t="shared" si="169"/>
        <v>NetWaste</v>
      </c>
      <c r="D247" s="503" t="str">
        <f t="shared" si="170"/>
        <v>N</v>
      </c>
      <c r="E247" s="503"/>
      <c r="F247"/>
      <c r="G247" s="379">
        <f t="shared" si="171"/>
        <v>13999</v>
      </c>
      <c r="H247" s="379">
        <f t="shared" si="172"/>
        <v>7106</v>
      </c>
      <c r="I247" s="379">
        <f t="shared" si="173"/>
        <v>338.9</v>
      </c>
      <c r="J247" s="379" t="str">
        <f t="shared" si="174"/>
        <v>Y</v>
      </c>
      <c r="K247" s="379">
        <f t="shared" si="175"/>
        <v>3580</v>
      </c>
      <c r="L247" s="379">
        <f t="shared" si="176"/>
        <v>0</v>
      </c>
      <c r="M247" s="379">
        <f t="shared" si="177"/>
        <v>3580</v>
      </c>
      <c r="N247" s="379">
        <f t="shared" si="178"/>
        <v>0</v>
      </c>
      <c r="O247" s="379">
        <f t="shared" si="179"/>
        <v>0</v>
      </c>
      <c r="P247" s="379" t="str">
        <f t="shared" si="180"/>
        <v>Y</v>
      </c>
      <c r="Q247" s="379" t="str">
        <f t="shared" si="181"/>
        <v>Y</v>
      </c>
      <c r="R247" s="379" t="str">
        <f t="shared" si="182"/>
        <v>Canowindra WMF</v>
      </c>
      <c r="S247" s="379" t="str">
        <f t="shared" si="183"/>
        <v>Cargo WMF</v>
      </c>
      <c r="T247" s="379" t="str">
        <f t="shared" si="184"/>
        <v>Cumnock WMF</v>
      </c>
      <c r="U247" s="379" t="str">
        <f t="shared" si="185"/>
        <v>Eugowra WMF</v>
      </c>
      <c r="V247" s="379" t="str">
        <f t="shared" si="186"/>
        <v>Manildra WMF</v>
      </c>
      <c r="W247" s="379" t="str">
        <f t="shared" si="187"/>
        <v>Yeoval WMF</v>
      </c>
      <c r="X247" s="379">
        <f t="shared" si="188"/>
        <v>0</v>
      </c>
      <c r="Y247" s="379">
        <f t="shared" si="189"/>
        <v>0</v>
      </c>
      <c r="Z247" s="379">
        <f t="shared" si="190"/>
        <v>0</v>
      </c>
      <c r="AA247" s="379">
        <f t="shared" si="191"/>
        <v>0</v>
      </c>
      <c r="AB247" s="379">
        <f t="shared" si="192"/>
        <v>0</v>
      </c>
      <c r="AC247" s="379">
        <f t="shared" si="193"/>
        <v>0</v>
      </c>
      <c r="AD247" s="379">
        <f t="shared" si="194"/>
        <v>0</v>
      </c>
      <c r="AE247" s="379">
        <f t="shared" si="195"/>
        <v>0</v>
      </c>
      <c r="AF247" s="379">
        <f t="shared" si="196"/>
        <v>0</v>
      </c>
      <c r="AG247" s="379">
        <f t="shared" si="197"/>
        <v>0</v>
      </c>
      <c r="AH247" s="379">
        <f t="shared" si="198"/>
        <v>0</v>
      </c>
      <c r="AI247" s="379">
        <f t="shared" si="199"/>
        <v>0</v>
      </c>
      <c r="AJ247" s="379">
        <f t="shared" si="200"/>
        <v>0</v>
      </c>
      <c r="AK247" s="379">
        <f t="shared" si="201"/>
        <v>0</v>
      </c>
      <c r="AL247" s="379">
        <f t="shared" si="202"/>
        <v>0</v>
      </c>
      <c r="AM247" s="379">
        <f t="shared" si="203"/>
        <v>0</v>
      </c>
      <c r="AN247" s="490">
        <f t="shared" si="204"/>
        <v>0</v>
      </c>
      <c r="AO247" s="379">
        <f t="shared" si="205"/>
        <v>0</v>
      </c>
      <c r="AP247" s="379">
        <f t="shared" si="206"/>
        <v>0</v>
      </c>
      <c r="AQ247" s="379">
        <f t="shared" si="207"/>
        <v>0</v>
      </c>
      <c r="AR247" s="379">
        <f t="shared" si="208"/>
        <v>0</v>
      </c>
      <c r="AS247" s="379">
        <f t="shared" si="209"/>
        <v>0</v>
      </c>
      <c r="AT247" s="379">
        <f t="shared" si="210"/>
        <v>0</v>
      </c>
      <c r="AU247" s="379">
        <f t="shared" si="211"/>
        <v>0</v>
      </c>
      <c r="AV247" s="379">
        <f t="shared" si="212"/>
        <v>0</v>
      </c>
      <c r="AW247" s="379">
        <f t="shared" si="213"/>
        <v>0</v>
      </c>
      <c r="AX247" s="379">
        <f t="shared" si="214"/>
        <v>0</v>
      </c>
      <c r="AY247" s="379">
        <f t="shared" si="215"/>
        <v>0</v>
      </c>
    </row>
    <row r="248" spans="1:51" x14ac:dyDescent="0.2">
      <c r="A248" s="376">
        <v>11600</v>
      </c>
      <c r="B248" s="378" t="str">
        <f t="shared" si="168"/>
        <v>Carrathool (A)</v>
      </c>
      <c r="C248" s="377" t="str">
        <f t="shared" si="169"/>
        <v>RAMROC Riverina</v>
      </c>
      <c r="D248" s="503" t="str">
        <f t="shared" si="170"/>
        <v>N</v>
      </c>
      <c r="E248" s="503"/>
      <c r="F248"/>
      <c r="G248" s="379">
        <f t="shared" si="171"/>
        <v>2760</v>
      </c>
      <c r="H248" s="379">
        <f t="shared" si="172"/>
        <v>2624</v>
      </c>
      <c r="I248" s="379">
        <f t="shared" si="173"/>
        <v>180</v>
      </c>
      <c r="J248" s="379" t="str">
        <f t="shared" si="174"/>
        <v>Y</v>
      </c>
      <c r="K248" s="379">
        <f t="shared" si="175"/>
        <v>704</v>
      </c>
      <c r="L248" s="379">
        <f t="shared" si="176"/>
        <v>0</v>
      </c>
      <c r="M248" s="379">
        <f t="shared" si="177"/>
        <v>0</v>
      </c>
      <c r="N248" s="379">
        <f t="shared" si="178"/>
        <v>0</v>
      </c>
      <c r="O248" s="379">
        <f t="shared" si="179"/>
        <v>0</v>
      </c>
      <c r="P248" s="379">
        <f t="shared" si="180"/>
        <v>0</v>
      </c>
      <c r="Q248" s="379">
        <f t="shared" si="181"/>
        <v>0</v>
      </c>
      <c r="R248" s="379">
        <f t="shared" si="182"/>
        <v>0</v>
      </c>
      <c r="S248" s="379">
        <f t="shared" si="183"/>
        <v>0</v>
      </c>
      <c r="T248" s="379">
        <f t="shared" si="184"/>
        <v>0</v>
      </c>
      <c r="U248" s="379">
        <f t="shared" si="185"/>
        <v>0</v>
      </c>
      <c r="V248" s="379">
        <f t="shared" si="186"/>
        <v>0</v>
      </c>
      <c r="W248" s="379">
        <f t="shared" si="187"/>
        <v>0</v>
      </c>
      <c r="X248" s="379">
        <f t="shared" si="188"/>
        <v>0</v>
      </c>
      <c r="Y248" s="379">
        <f t="shared" si="189"/>
        <v>0</v>
      </c>
      <c r="Z248" s="379">
        <f t="shared" si="190"/>
        <v>0</v>
      </c>
      <c r="AA248" s="379">
        <f t="shared" si="191"/>
        <v>0</v>
      </c>
      <c r="AB248" s="379">
        <f t="shared" si="192"/>
        <v>0</v>
      </c>
      <c r="AC248" s="379">
        <f t="shared" si="193"/>
        <v>0</v>
      </c>
      <c r="AD248" s="379">
        <f t="shared" si="194"/>
        <v>0</v>
      </c>
      <c r="AE248" s="379">
        <f t="shared" si="195"/>
        <v>0</v>
      </c>
      <c r="AF248" s="379">
        <f t="shared" si="196"/>
        <v>0</v>
      </c>
      <c r="AG248" s="379">
        <f t="shared" si="197"/>
        <v>0</v>
      </c>
      <c r="AH248" s="379">
        <f t="shared" si="198"/>
        <v>0</v>
      </c>
      <c r="AI248" s="379">
        <f t="shared" si="199"/>
        <v>0</v>
      </c>
      <c r="AJ248" s="379">
        <f t="shared" si="200"/>
        <v>0</v>
      </c>
      <c r="AK248" s="379">
        <f t="shared" si="201"/>
        <v>0</v>
      </c>
      <c r="AL248" s="379">
        <f t="shared" si="202"/>
        <v>0</v>
      </c>
      <c r="AM248" s="379">
        <f t="shared" si="203"/>
        <v>0</v>
      </c>
      <c r="AN248" s="490">
        <f t="shared" si="204"/>
        <v>0</v>
      </c>
      <c r="AO248" s="379">
        <f t="shared" si="205"/>
        <v>0</v>
      </c>
      <c r="AP248" s="379">
        <f t="shared" si="206"/>
        <v>0</v>
      </c>
      <c r="AQ248" s="379">
        <f t="shared" si="207"/>
        <v>0</v>
      </c>
      <c r="AR248" s="379">
        <f t="shared" si="208"/>
        <v>0</v>
      </c>
      <c r="AS248" s="379">
        <f t="shared" si="209"/>
        <v>0</v>
      </c>
      <c r="AT248" s="379">
        <f t="shared" si="210"/>
        <v>0</v>
      </c>
      <c r="AU248" s="379">
        <f t="shared" si="211"/>
        <v>0</v>
      </c>
      <c r="AV248" s="379">
        <f t="shared" si="212"/>
        <v>0</v>
      </c>
      <c r="AW248" s="379">
        <f t="shared" si="213"/>
        <v>0</v>
      </c>
      <c r="AX248" s="379">
        <f t="shared" si="214"/>
        <v>0</v>
      </c>
      <c r="AY248" s="379">
        <f t="shared" si="215"/>
        <v>0</v>
      </c>
    </row>
    <row r="249" spans="1:51" x14ac:dyDescent="0.2">
      <c r="A249" s="376">
        <v>11700</v>
      </c>
      <c r="B249" s="378" t="str">
        <f t="shared" si="168"/>
        <v>Central Darling (A)</v>
      </c>
      <c r="C249" s="377" t="str">
        <f t="shared" si="169"/>
        <v>NetWaste</v>
      </c>
      <c r="D249" s="503" t="str">
        <f t="shared" si="170"/>
        <v>N</v>
      </c>
      <c r="E249" s="503"/>
      <c r="F249"/>
      <c r="G249" s="379">
        <f t="shared" si="171"/>
        <v>2070</v>
      </c>
      <c r="H249" s="379">
        <f t="shared" si="172"/>
        <v>1379</v>
      </c>
      <c r="I249" s="379">
        <f t="shared" si="173"/>
        <v>510</v>
      </c>
      <c r="J249" s="379" t="str">
        <f t="shared" si="174"/>
        <v>Y</v>
      </c>
      <c r="K249" s="379">
        <f t="shared" si="175"/>
        <v>719</v>
      </c>
      <c r="L249" s="379">
        <f t="shared" si="176"/>
        <v>0</v>
      </c>
      <c r="M249" s="379">
        <f t="shared" si="177"/>
        <v>0</v>
      </c>
      <c r="N249" s="379">
        <f t="shared" si="178"/>
        <v>0</v>
      </c>
      <c r="O249" s="379">
        <f t="shared" si="179"/>
        <v>0</v>
      </c>
      <c r="P249" s="379">
        <f t="shared" si="180"/>
        <v>0</v>
      </c>
      <c r="Q249" s="379">
        <f t="shared" si="181"/>
        <v>0</v>
      </c>
      <c r="R249" s="379">
        <f t="shared" si="182"/>
        <v>0</v>
      </c>
      <c r="S249" s="379">
        <f t="shared" si="183"/>
        <v>0</v>
      </c>
      <c r="T249" s="379">
        <f t="shared" si="184"/>
        <v>0</v>
      </c>
      <c r="U249" s="379">
        <f t="shared" si="185"/>
        <v>0</v>
      </c>
      <c r="V249" s="379">
        <f t="shared" si="186"/>
        <v>0</v>
      </c>
      <c r="W249" s="379">
        <f t="shared" si="187"/>
        <v>0</v>
      </c>
      <c r="X249" s="379">
        <f t="shared" si="188"/>
        <v>0</v>
      </c>
      <c r="Y249" s="379">
        <f t="shared" si="189"/>
        <v>0</v>
      </c>
      <c r="Z249" s="379">
        <f t="shared" si="190"/>
        <v>0</v>
      </c>
      <c r="AA249" s="379">
        <f t="shared" si="191"/>
        <v>0</v>
      </c>
      <c r="AB249" s="379">
        <f t="shared" si="192"/>
        <v>0</v>
      </c>
      <c r="AC249" s="379">
        <f t="shared" si="193"/>
        <v>0</v>
      </c>
      <c r="AD249" s="379">
        <f t="shared" si="194"/>
        <v>0</v>
      </c>
      <c r="AE249" s="379">
        <f t="shared" si="195"/>
        <v>0</v>
      </c>
      <c r="AF249" s="379">
        <f t="shared" si="196"/>
        <v>0</v>
      </c>
      <c r="AG249" s="379">
        <f t="shared" si="197"/>
        <v>0</v>
      </c>
      <c r="AH249" s="379">
        <f t="shared" si="198"/>
        <v>0</v>
      </c>
      <c r="AI249" s="379">
        <f t="shared" si="199"/>
        <v>0</v>
      </c>
      <c r="AJ249" s="379">
        <f t="shared" si="200"/>
        <v>0</v>
      </c>
      <c r="AK249" s="379">
        <f t="shared" si="201"/>
        <v>0</v>
      </c>
      <c r="AL249" s="379">
        <f t="shared" si="202"/>
        <v>0</v>
      </c>
      <c r="AM249" s="379">
        <f t="shared" si="203"/>
        <v>0</v>
      </c>
      <c r="AN249" s="490">
        <f t="shared" si="204"/>
        <v>0</v>
      </c>
      <c r="AO249" s="379">
        <f t="shared" si="205"/>
        <v>0</v>
      </c>
      <c r="AP249" s="379">
        <f t="shared" si="206"/>
        <v>0</v>
      </c>
      <c r="AQ249" s="379">
        <f t="shared" si="207"/>
        <v>0</v>
      </c>
      <c r="AR249" s="379">
        <f t="shared" si="208"/>
        <v>0</v>
      </c>
      <c r="AS249" s="379">
        <f t="shared" si="209"/>
        <v>0</v>
      </c>
      <c r="AT249" s="379">
        <f t="shared" si="210"/>
        <v>0</v>
      </c>
      <c r="AU249" s="379">
        <f t="shared" si="211"/>
        <v>0</v>
      </c>
      <c r="AV249" s="379">
        <f t="shared" si="212"/>
        <v>0</v>
      </c>
      <c r="AW249" s="379">
        <f t="shared" si="213"/>
        <v>0</v>
      </c>
      <c r="AX249" s="379">
        <f t="shared" si="214"/>
        <v>0</v>
      </c>
      <c r="AY249" s="379">
        <f t="shared" si="215"/>
        <v>0</v>
      </c>
    </row>
    <row r="250" spans="1:51" x14ac:dyDescent="0.2">
      <c r="A250" s="376">
        <v>11750</v>
      </c>
      <c r="B250" s="378" t="str">
        <f t="shared" si="168"/>
        <v>Cobar (A)</v>
      </c>
      <c r="C250" s="377" t="str">
        <f t="shared" si="169"/>
        <v>NetWaste</v>
      </c>
      <c r="D250" s="503" t="str">
        <f t="shared" si="170"/>
        <v>N</v>
      </c>
      <c r="E250" s="503"/>
      <c r="F250"/>
      <c r="G250" s="379">
        <f t="shared" si="171"/>
        <v>4989</v>
      </c>
      <c r="H250" s="379">
        <f t="shared" si="172"/>
        <v>2691</v>
      </c>
      <c r="I250" s="379">
        <f t="shared" si="173"/>
        <v>225</v>
      </c>
      <c r="J250" s="379" t="str">
        <f t="shared" si="174"/>
        <v>Y</v>
      </c>
      <c r="K250" s="379">
        <f t="shared" si="175"/>
        <v>2488</v>
      </c>
      <c r="L250" s="379">
        <f t="shared" si="176"/>
        <v>0</v>
      </c>
      <c r="M250" s="379">
        <f t="shared" si="177"/>
        <v>0</v>
      </c>
      <c r="N250" s="379">
        <f t="shared" si="178"/>
        <v>0</v>
      </c>
      <c r="O250" s="379">
        <f t="shared" si="179"/>
        <v>0</v>
      </c>
      <c r="P250" s="379">
        <f t="shared" si="180"/>
        <v>0</v>
      </c>
      <c r="Q250" s="379">
        <f t="shared" si="181"/>
        <v>0</v>
      </c>
      <c r="R250" s="379">
        <f t="shared" si="182"/>
        <v>0</v>
      </c>
      <c r="S250" s="379">
        <f t="shared" si="183"/>
        <v>0</v>
      </c>
      <c r="T250" s="379">
        <f t="shared" si="184"/>
        <v>0</v>
      </c>
      <c r="U250" s="379">
        <f t="shared" si="185"/>
        <v>0</v>
      </c>
      <c r="V250" s="379">
        <f t="shared" si="186"/>
        <v>0</v>
      </c>
      <c r="W250" s="379">
        <f t="shared" si="187"/>
        <v>0</v>
      </c>
      <c r="X250" s="379">
        <f t="shared" si="188"/>
        <v>0</v>
      </c>
      <c r="Y250" s="379">
        <f t="shared" si="189"/>
        <v>0</v>
      </c>
      <c r="Z250" s="379">
        <f t="shared" si="190"/>
        <v>0</v>
      </c>
      <c r="AA250" s="379">
        <f t="shared" si="191"/>
        <v>0</v>
      </c>
      <c r="AB250" s="379">
        <f t="shared" si="192"/>
        <v>0</v>
      </c>
      <c r="AC250" s="379">
        <f t="shared" si="193"/>
        <v>0</v>
      </c>
      <c r="AD250" s="379">
        <f t="shared" si="194"/>
        <v>0</v>
      </c>
      <c r="AE250" s="379">
        <f t="shared" si="195"/>
        <v>0</v>
      </c>
      <c r="AF250" s="379">
        <f t="shared" si="196"/>
        <v>0</v>
      </c>
      <c r="AG250" s="379">
        <f t="shared" si="197"/>
        <v>0</v>
      </c>
      <c r="AH250" s="379">
        <f t="shared" si="198"/>
        <v>0</v>
      </c>
      <c r="AI250" s="379">
        <f t="shared" si="199"/>
        <v>0</v>
      </c>
      <c r="AJ250" s="379">
        <f t="shared" si="200"/>
        <v>0</v>
      </c>
      <c r="AK250" s="379">
        <f t="shared" si="201"/>
        <v>0</v>
      </c>
      <c r="AL250" s="379">
        <f t="shared" si="202"/>
        <v>0</v>
      </c>
      <c r="AM250" s="379">
        <f t="shared" si="203"/>
        <v>0</v>
      </c>
      <c r="AN250" s="490">
        <f t="shared" si="204"/>
        <v>0</v>
      </c>
      <c r="AO250" s="379">
        <f t="shared" si="205"/>
        <v>0</v>
      </c>
      <c r="AP250" s="379">
        <f t="shared" si="206"/>
        <v>0</v>
      </c>
      <c r="AQ250" s="379">
        <f t="shared" si="207"/>
        <v>0</v>
      </c>
      <c r="AR250" s="379">
        <f t="shared" si="208"/>
        <v>0</v>
      </c>
      <c r="AS250" s="379">
        <f t="shared" si="209"/>
        <v>0</v>
      </c>
      <c r="AT250" s="379">
        <f t="shared" si="210"/>
        <v>0</v>
      </c>
      <c r="AU250" s="379">
        <f t="shared" si="211"/>
        <v>0</v>
      </c>
      <c r="AV250" s="379">
        <f t="shared" si="212"/>
        <v>0</v>
      </c>
      <c r="AW250" s="379">
        <f t="shared" si="213"/>
        <v>0</v>
      </c>
      <c r="AX250" s="379">
        <f t="shared" si="214"/>
        <v>0</v>
      </c>
      <c r="AY250" s="379">
        <f t="shared" si="215"/>
        <v>0</v>
      </c>
    </row>
    <row r="251" spans="1:51" x14ac:dyDescent="0.2">
      <c r="A251" s="376">
        <v>12000</v>
      </c>
      <c r="B251" s="378" t="str">
        <f t="shared" si="168"/>
        <v>Coolamon (A)</v>
      </c>
      <c r="C251" s="377" t="str">
        <f t="shared" si="169"/>
        <v>REROC</v>
      </c>
      <c r="D251" s="503" t="str">
        <f t="shared" si="170"/>
        <v>N</v>
      </c>
      <c r="E251" s="503"/>
      <c r="F251"/>
      <c r="G251" s="379">
        <f t="shared" si="171"/>
        <v>4419</v>
      </c>
      <c r="H251" s="379">
        <f t="shared" si="172"/>
        <v>2020</v>
      </c>
      <c r="I251" s="379">
        <f t="shared" si="173"/>
        <v>265</v>
      </c>
      <c r="J251" s="379" t="str">
        <f t="shared" si="174"/>
        <v>Y</v>
      </c>
      <c r="K251" s="379">
        <f t="shared" si="175"/>
        <v>1651</v>
      </c>
      <c r="L251" s="379">
        <f t="shared" si="176"/>
        <v>0</v>
      </c>
      <c r="M251" s="379">
        <f t="shared" si="177"/>
        <v>1613</v>
      </c>
      <c r="N251" s="379">
        <f t="shared" si="178"/>
        <v>0</v>
      </c>
      <c r="O251" s="379">
        <f t="shared" si="179"/>
        <v>1162</v>
      </c>
      <c r="P251" s="379" t="str">
        <f t="shared" si="180"/>
        <v>Y</v>
      </c>
      <c r="Q251" s="379">
        <f t="shared" si="181"/>
        <v>0</v>
      </c>
      <c r="R251" s="379">
        <f t="shared" si="182"/>
        <v>0</v>
      </c>
      <c r="S251" s="379">
        <f t="shared" si="183"/>
        <v>0</v>
      </c>
      <c r="T251" s="379">
        <f t="shared" si="184"/>
        <v>0</v>
      </c>
      <c r="U251" s="379">
        <f t="shared" si="185"/>
        <v>0</v>
      </c>
      <c r="V251" s="379">
        <f t="shared" si="186"/>
        <v>0</v>
      </c>
      <c r="W251" s="379">
        <f t="shared" si="187"/>
        <v>0</v>
      </c>
      <c r="X251" s="379">
        <f t="shared" si="188"/>
        <v>0</v>
      </c>
      <c r="Y251" s="379">
        <f t="shared" si="189"/>
        <v>0</v>
      </c>
      <c r="Z251" s="379">
        <f t="shared" si="190"/>
        <v>0</v>
      </c>
      <c r="AA251" s="379">
        <f t="shared" si="191"/>
        <v>0</v>
      </c>
      <c r="AB251" s="379">
        <f t="shared" si="192"/>
        <v>0</v>
      </c>
      <c r="AC251" s="379">
        <f t="shared" si="193"/>
        <v>0</v>
      </c>
      <c r="AD251" s="379">
        <f t="shared" si="194"/>
        <v>0</v>
      </c>
      <c r="AE251" s="379">
        <f t="shared" si="195"/>
        <v>0</v>
      </c>
      <c r="AF251" s="379">
        <f t="shared" si="196"/>
        <v>0</v>
      </c>
      <c r="AG251" s="379">
        <f t="shared" si="197"/>
        <v>0</v>
      </c>
      <c r="AH251" s="379">
        <f t="shared" si="198"/>
        <v>0</v>
      </c>
      <c r="AI251" s="379">
        <f t="shared" si="199"/>
        <v>0</v>
      </c>
      <c r="AJ251" s="379">
        <f t="shared" si="200"/>
        <v>0</v>
      </c>
      <c r="AK251" s="379">
        <f t="shared" si="201"/>
        <v>0</v>
      </c>
      <c r="AL251" s="379">
        <f t="shared" si="202"/>
        <v>0</v>
      </c>
      <c r="AM251" s="379">
        <f t="shared" si="203"/>
        <v>0</v>
      </c>
      <c r="AN251" s="490">
        <f t="shared" si="204"/>
        <v>0</v>
      </c>
      <c r="AO251" s="379">
        <f t="shared" si="205"/>
        <v>0</v>
      </c>
      <c r="AP251" s="379">
        <f t="shared" si="206"/>
        <v>0</v>
      </c>
      <c r="AQ251" s="379">
        <f t="shared" si="207"/>
        <v>0</v>
      </c>
      <c r="AR251" s="379">
        <f t="shared" si="208"/>
        <v>0</v>
      </c>
      <c r="AS251" s="379">
        <f t="shared" si="209"/>
        <v>0</v>
      </c>
      <c r="AT251" s="379">
        <f t="shared" si="210"/>
        <v>0</v>
      </c>
      <c r="AU251" s="379">
        <f t="shared" si="211"/>
        <v>0</v>
      </c>
      <c r="AV251" s="379">
        <f t="shared" si="212"/>
        <v>0</v>
      </c>
      <c r="AW251" s="379">
        <f t="shared" si="213"/>
        <v>0</v>
      </c>
      <c r="AX251" s="379">
        <f t="shared" si="214"/>
        <v>0</v>
      </c>
      <c r="AY251" s="379">
        <f t="shared" si="215"/>
        <v>0</v>
      </c>
    </row>
    <row r="252" spans="1:51" x14ac:dyDescent="0.2">
      <c r="A252" s="376">
        <v>12150</v>
      </c>
      <c r="B252" s="378" t="str">
        <f t="shared" si="168"/>
        <v>Coonamble (A)</v>
      </c>
      <c r="C252" s="377" t="str">
        <f t="shared" si="169"/>
        <v>NetWaste</v>
      </c>
      <c r="D252" s="503" t="str">
        <f t="shared" si="170"/>
        <v>N</v>
      </c>
      <c r="E252" s="503"/>
      <c r="F252"/>
      <c r="G252" s="379">
        <f t="shared" si="171"/>
        <v>4188</v>
      </c>
      <c r="H252" s="379">
        <f t="shared" si="172"/>
        <v>1577</v>
      </c>
      <c r="I252" s="379">
        <f t="shared" si="173"/>
        <v>280</v>
      </c>
      <c r="J252" s="379" t="str">
        <f t="shared" si="174"/>
        <v>Y</v>
      </c>
      <c r="K252" s="379">
        <f t="shared" si="175"/>
        <v>1468</v>
      </c>
      <c r="L252" s="379">
        <f t="shared" si="176"/>
        <v>0</v>
      </c>
      <c r="M252" s="379">
        <f t="shared" si="177"/>
        <v>0</v>
      </c>
      <c r="N252" s="379">
        <f t="shared" si="178"/>
        <v>0</v>
      </c>
      <c r="O252" s="379">
        <f t="shared" si="179"/>
        <v>0</v>
      </c>
      <c r="P252" s="379">
        <f t="shared" si="180"/>
        <v>0</v>
      </c>
      <c r="Q252" s="379" t="str">
        <f t="shared" si="181"/>
        <v>Y</v>
      </c>
      <c r="R252" s="379" t="str">
        <f t="shared" si="182"/>
        <v>Coonamble</v>
      </c>
      <c r="S252" s="379" t="str">
        <f t="shared" si="183"/>
        <v>Quambone</v>
      </c>
      <c r="T252" s="379">
        <f t="shared" si="184"/>
        <v>0</v>
      </c>
      <c r="U252" s="379">
        <f t="shared" si="185"/>
        <v>0</v>
      </c>
      <c r="V252" s="379">
        <f t="shared" si="186"/>
        <v>0</v>
      </c>
      <c r="W252" s="379">
        <f t="shared" si="187"/>
        <v>0</v>
      </c>
      <c r="X252" s="379">
        <f t="shared" si="188"/>
        <v>0</v>
      </c>
      <c r="Y252" s="379">
        <f t="shared" si="189"/>
        <v>0</v>
      </c>
      <c r="Z252" s="379">
        <f t="shared" si="190"/>
        <v>0</v>
      </c>
      <c r="AA252" s="379">
        <f t="shared" si="191"/>
        <v>0</v>
      </c>
      <c r="AB252" s="379">
        <f t="shared" si="192"/>
        <v>0</v>
      </c>
      <c r="AC252" s="379">
        <f t="shared" si="193"/>
        <v>0</v>
      </c>
      <c r="AD252" s="379">
        <f t="shared" si="194"/>
        <v>0</v>
      </c>
      <c r="AE252" s="379">
        <f t="shared" si="195"/>
        <v>0</v>
      </c>
      <c r="AF252" s="379">
        <f t="shared" si="196"/>
        <v>0</v>
      </c>
      <c r="AG252" s="379">
        <f t="shared" si="197"/>
        <v>0</v>
      </c>
      <c r="AH252" s="379">
        <f t="shared" si="198"/>
        <v>0</v>
      </c>
      <c r="AI252" s="379">
        <f t="shared" si="199"/>
        <v>0</v>
      </c>
      <c r="AJ252" s="379">
        <f t="shared" si="200"/>
        <v>0</v>
      </c>
      <c r="AK252" s="379">
        <f t="shared" si="201"/>
        <v>0</v>
      </c>
      <c r="AL252" s="379">
        <f t="shared" si="202"/>
        <v>0</v>
      </c>
      <c r="AM252" s="379">
        <f t="shared" si="203"/>
        <v>0</v>
      </c>
      <c r="AN252" s="490">
        <f t="shared" si="204"/>
        <v>0</v>
      </c>
      <c r="AO252" s="379">
        <f t="shared" si="205"/>
        <v>0</v>
      </c>
      <c r="AP252" s="379">
        <f t="shared" si="206"/>
        <v>0</v>
      </c>
      <c r="AQ252" s="379">
        <f t="shared" si="207"/>
        <v>0</v>
      </c>
      <c r="AR252" s="379">
        <f t="shared" si="208"/>
        <v>0</v>
      </c>
      <c r="AS252" s="379">
        <f t="shared" si="209"/>
        <v>0</v>
      </c>
      <c r="AT252" s="379">
        <f t="shared" si="210"/>
        <v>0</v>
      </c>
      <c r="AU252" s="379">
        <f t="shared" si="211"/>
        <v>0</v>
      </c>
      <c r="AV252" s="379">
        <f t="shared" si="212"/>
        <v>0</v>
      </c>
      <c r="AW252" s="379">
        <f t="shared" si="213"/>
        <v>0</v>
      </c>
      <c r="AX252" s="379">
        <f t="shared" si="214"/>
        <v>0</v>
      </c>
      <c r="AY252" s="379">
        <f t="shared" si="215"/>
        <v>0</v>
      </c>
    </row>
    <row r="253" spans="1:51" x14ac:dyDescent="0.2">
      <c r="A253" s="376">
        <v>12350</v>
      </c>
      <c r="B253" s="378" t="str">
        <f t="shared" si="168"/>
        <v>Cowra (A)</v>
      </c>
      <c r="C253" s="377" t="str">
        <f t="shared" si="169"/>
        <v>NetWaste</v>
      </c>
      <c r="D253" s="503" t="str">
        <f t="shared" si="170"/>
        <v>N</v>
      </c>
      <c r="E253" s="503"/>
      <c r="F253"/>
      <c r="G253" s="379">
        <f t="shared" si="171"/>
        <v>12527</v>
      </c>
      <c r="H253" s="379">
        <f t="shared" si="172"/>
        <v>4372</v>
      </c>
      <c r="I253" s="379">
        <f t="shared" si="173"/>
        <v>595</v>
      </c>
      <c r="J253" s="379" t="str">
        <f t="shared" si="174"/>
        <v>Y</v>
      </c>
      <c r="K253" s="379">
        <f t="shared" si="175"/>
        <v>4372</v>
      </c>
      <c r="L253" s="379">
        <f t="shared" si="176"/>
        <v>0</v>
      </c>
      <c r="M253" s="379">
        <f t="shared" si="177"/>
        <v>4250</v>
      </c>
      <c r="N253" s="379">
        <f t="shared" si="178"/>
        <v>0</v>
      </c>
      <c r="O253" s="379">
        <f t="shared" si="179"/>
        <v>0</v>
      </c>
      <c r="P253" s="379">
        <f t="shared" si="180"/>
        <v>0</v>
      </c>
      <c r="Q253" s="379" t="str">
        <f t="shared" si="181"/>
        <v>Y</v>
      </c>
      <c r="R253" s="379" t="str">
        <f t="shared" si="182"/>
        <v>Woodstock</v>
      </c>
      <c r="S253" s="379">
        <f t="shared" si="183"/>
        <v>0</v>
      </c>
      <c r="T253" s="379">
        <f t="shared" si="184"/>
        <v>0</v>
      </c>
      <c r="U253" s="379">
        <f t="shared" si="185"/>
        <v>0</v>
      </c>
      <c r="V253" s="379">
        <f t="shared" si="186"/>
        <v>0</v>
      </c>
      <c r="W253" s="379">
        <f t="shared" si="187"/>
        <v>0</v>
      </c>
      <c r="X253" s="379">
        <f t="shared" si="188"/>
        <v>0</v>
      </c>
      <c r="Y253" s="379">
        <f t="shared" si="189"/>
        <v>0</v>
      </c>
      <c r="Z253" s="379">
        <f t="shared" si="190"/>
        <v>0</v>
      </c>
      <c r="AA253" s="379">
        <f t="shared" si="191"/>
        <v>0</v>
      </c>
      <c r="AB253" s="379">
        <f t="shared" si="192"/>
        <v>0</v>
      </c>
      <c r="AC253" s="379">
        <f t="shared" si="193"/>
        <v>0</v>
      </c>
      <c r="AD253" s="379">
        <f t="shared" si="194"/>
        <v>0</v>
      </c>
      <c r="AE253" s="379">
        <f t="shared" si="195"/>
        <v>0</v>
      </c>
      <c r="AF253" s="379">
        <f t="shared" si="196"/>
        <v>0</v>
      </c>
      <c r="AG253" s="379">
        <f t="shared" si="197"/>
        <v>0</v>
      </c>
      <c r="AH253" s="379">
        <f t="shared" si="198"/>
        <v>0</v>
      </c>
      <c r="AI253" s="379">
        <f t="shared" si="199"/>
        <v>0</v>
      </c>
      <c r="AJ253" s="379">
        <f t="shared" si="200"/>
        <v>0</v>
      </c>
      <c r="AK253" s="379">
        <f t="shared" si="201"/>
        <v>0</v>
      </c>
      <c r="AL253" s="379">
        <f t="shared" si="202"/>
        <v>0</v>
      </c>
      <c r="AM253" s="379">
        <f t="shared" si="203"/>
        <v>0</v>
      </c>
      <c r="AN253" s="490">
        <f t="shared" si="204"/>
        <v>0</v>
      </c>
      <c r="AO253" s="379">
        <f t="shared" si="205"/>
        <v>0</v>
      </c>
      <c r="AP253" s="379">
        <f t="shared" si="206"/>
        <v>0</v>
      </c>
      <c r="AQ253" s="379">
        <f t="shared" si="207"/>
        <v>0</v>
      </c>
      <c r="AR253" s="379">
        <f t="shared" si="208"/>
        <v>0</v>
      </c>
      <c r="AS253" s="379">
        <f t="shared" si="209"/>
        <v>0</v>
      </c>
      <c r="AT253" s="379">
        <f t="shared" si="210"/>
        <v>0</v>
      </c>
      <c r="AU253" s="379">
        <f t="shared" si="211"/>
        <v>0</v>
      </c>
      <c r="AV253" s="379">
        <f t="shared" si="212"/>
        <v>0</v>
      </c>
      <c r="AW253" s="379">
        <f t="shared" si="213"/>
        <v>0</v>
      </c>
      <c r="AX253" s="379">
        <f t="shared" si="214"/>
        <v>0</v>
      </c>
      <c r="AY253" s="379">
        <f t="shared" si="215"/>
        <v>0</v>
      </c>
    </row>
    <row r="254" spans="1:51" x14ac:dyDescent="0.2">
      <c r="A254" s="376">
        <v>12730</v>
      </c>
      <c r="B254" s="378" t="str">
        <f t="shared" si="168"/>
        <v>Edward River (A)</v>
      </c>
      <c r="C254" s="377" t="str">
        <f t="shared" si="169"/>
        <v>RAMROC Murray</v>
      </c>
      <c r="D254" s="503" t="str">
        <f t="shared" si="170"/>
        <v>N</v>
      </c>
      <c r="E254" s="503"/>
      <c r="F254"/>
      <c r="G254" s="379">
        <f t="shared" si="171"/>
        <v>8876</v>
      </c>
      <c r="H254" s="379">
        <f t="shared" si="172"/>
        <v>3396</v>
      </c>
      <c r="I254" s="379">
        <f t="shared" si="173"/>
        <v>343.5</v>
      </c>
      <c r="J254" s="379" t="str">
        <f t="shared" si="174"/>
        <v>Y</v>
      </c>
      <c r="K254" s="379">
        <f t="shared" si="175"/>
        <v>3419</v>
      </c>
      <c r="L254" s="379">
        <f t="shared" si="176"/>
        <v>0</v>
      </c>
      <c r="M254" s="379">
        <f t="shared" si="177"/>
        <v>0</v>
      </c>
      <c r="N254" s="379">
        <f t="shared" si="178"/>
        <v>0</v>
      </c>
      <c r="O254" s="379">
        <f t="shared" si="179"/>
        <v>0</v>
      </c>
      <c r="P254" s="379">
        <f t="shared" si="180"/>
        <v>0</v>
      </c>
      <c r="Q254" s="379" t="str">
        <f t="shared" si="181"/>
        <v>Y</v>
      </c>
      <c r="R254" s="379" t="str">
        <f t="shared" si="182"/>
        <v>Deniliquin Waste Disposal Facility</v>
      </c>
      <c r="S254" s="379" t="str">
        <f t="shared" si="183"/>
        <v>Blighty Landfll</v>
      </c>
      <c r="T254" s="379" t="str">
        <f t="shared" si="184"/>
        <v>Booroorban Landfill</v>
      </c>
      <c r="U254" s="379" t="str">
        <f t="shared" si="185"/>
        <v>Conargo Landfill</v>
      </c>
      <c r="V254" s="379" t="str">
        <f t="shared" si="186"/>
        <v>Pretty Pine Landfill</v>
      </c>
      <c r="W254" s="379" t="str">
        <f t="shared" si="187"/>
        <v>Wanganella Landfill</v>
      </c>
      <c r="X254" s="379">
        <f t="shared" si="188"/>
        <v>0</v>
      </c>
      <c r="Y254" s="379">
        <f t="shared" si="189"/>
        <v>0</v>
      </c>
      <c r="Z254" s="379">
        <f t="shared" si="190"/>
        <v>0</v>
      </c>
      <c r="AA254" s="379">
        <f t="shared" si="191"/>
        <v>0</v>
      </c>
      <c r="AB254" s="379">
        <f t="shared" si="192"/>
        <v>0</v>
      </c>
      <c r="AC254" s="379">
        <f t="shared" si="193"/>
        <v>0</v>
      </c>
      <c r="AD254" s="379">
        <f t="shared" si="194"/>
        <v>0</v>
      </c>
      <c r="AE254" s="379">
        <f t="shared" si="195"/>
        <v>0</v>
      </c>
      <c r="AF254" s="379">
        <f t="shared" si="196"/>
        <v>0</v>
      </c>
      <c r="AG254" s="379">
        <f t="shared" si="197"/>
        <v>0</v>
      </c>
      <c r="AH254" s="379">
        <f t="shared" si="198"/>
        <v>0</v>
      </c>
      <c r="AI254" s="379">
        <f t="shared" si="199"/>
        <v>0</v>
      </c>
      <c r="AJ254" s="379">
        <f t="shared" si="200"/>
        <v>0</v>
      </c>
      <c r="AK254" s="379">
        <f t="shared" si="201"/>
        <v>0</v>
      </c>
      <c r="AL254" s="379">
        <f t="shared" si="202"/>
        <v>0</v>
      </c>
      <c r="AM254" s="379">
        <f t="shared" si="203"/>
        <v>0</v>
      </c>
      <c r="AN254" s="490">
        <f t="shared" si="204"/>
        <v>0</v>
      </c>
      <c r="AO254" s="379">
        <f t="shared" si="205"/>
        <v>0</v>
      </c>
      <c r="AP254" s="379">
        <f t="shared" si="206"/>
        <v>0</v>
      </c>
      <c r="AQ254" s="379">
        <f t="shared" si="207"/>
        <v>0</v>
      </c>
      <c r="AR254" s="379">
        <f t="shared" si="208"/>
        <v>0</v>
      </c>
      <c r="AS254" s="379">
        <f t="shared" si="209"/>
        <v>0</v>
      </c>
      <c r="AT254" s="379">
        <f t="shared" si="210"/>
        <v>0</v>
      </c>
      <c r="AU254" s="379">
        <f t="shared" si="211"/>
        <v>0</v>
      </c>
      <c r="AV254" s="379">
        <f t="shared" si="212"/>
        <v>0</v>
      </c>
      <c r="AW254" s="379">
        <f t="shared" si="213"/>
        <v>0</v>
      </c>
      <c r="AX254" s="379">
        <f t="shared" si="214"/>
        <v>0</v>
      </c>
      <c r="AY254" s="379">
        <f t="shared" si="215"/>
        <v>0</v>
      </c>
    </row>
    <row r="255" spans="1:51" x14ac:dyDescent="0.2">
      <c r="A255" s="376">
        <v>12750</v>
      </c>
      <c r="B255" s="378" t="str">
        <f t="shared" si="168"/>
        <v>Eurobodalla (A)</v>
      </c>
      <c r="C255" s="377" t="str">
        <f t="shared" si="169"/>
        <v>CBRJO</v>
      </c>
      <c r="D255" s="503" t="str">
        <f t="shared" si="170"/>
        <v>N</v>
      </c>
      <c r="E255" s="503"/>
      <c r="F255"/>
      <c r="G255" s="379">
        <f t="shared" si="171"/>
        <v>38119</v>
      </c>
      <c r="H255" s="379">
        <f t="shared" si="172"/>
        <v>23556</v>
      </c>
      <c r="I255" s="379">
        <f t="shared" si="173"/>
        <v>302.3</v>
      </c>
      <c r="J255" s="379" t="str">
        <f t="shared" si="174"/>
        <v>Y</v>
      </c>
      <c r="K255" s="379">
        <f t="shared" si="175"/>
        <v>22022</v>
      </c>
      <c r="L255" s="379">
        <f t="shared" si="176"/>
        <v>0</v>
      </c>
      <c r="M255" s="379">
        <f t="shared" si="177"/>
        <v>22138</v>
      </c>
      <c r="N255" s="379">
        <f t="shared" si="178"/>
        <v>21395</v>
      </c>
      <c r="O255" s="379">
        <f t="shared" si="179"/>
        <v>0</v>
      </c>
      <c r="P255" s="379" t="str">
        <f t="shared" si="180"/>
        <v>Y</v>
      </c>
      <c r="Q255" s="379" t="str">
        <f t="shared" si="181"/>
        <v>Y</v>
      </c>
      <c r="R255" s="379" t="str">
        <f t="shared" si="182"/>
        <v>Brou WMF</v>
      </c>
      <c r="S255" s="379" t="str">
        <f t="shared" si="183"/>
        <v>Surf Beach WMF</v>
      </c>
      <c r="T255" s="379" t="str">
        <f t="shared" si="184"/>
        <v>Moruya Transfer Station</v>
      </c>
      <c r="U255" s="379">
        <f t="shared" si="185"/>
        <v>0</v>
      </c>
      <c r="V255" s="379">
        <f t="shared" si="186"/>
        <v>0</v>
      </c>
      <c r="W255" s="379">
        <f t="shared" si="187"/>
        <v>0</v>
      </c>
      <c r="X255" s="379">
        <f t="shared" si="188"/>
        <v>0</v>
      </c>
      <c r="Y255" s="379">
        <f t="shared" si="189"/>
        <v>0</v>
      </c>
      <c r="Z255" s="379">
        <f t="shared" si="190"/>
        <v>0</v>
      </c>
      <c r="AA255" s="379">
        <f t="shared" si="191"/>
        <v>0</v>
      </c>
      <c r="AB255" s="379">
        <f t="shared" si="192"/>
        <v>0</v>
      </c>
      <c r="AC255" s="379">
        <f t="shared" si="193"/>
        <v>0</v>
      </c>
      <c r="AD255" s="379">
        <f t="shared" si="194"/>
        <v>0</v>
      </c>
      <c r="AE255" s="379">
        <f t="shared" si="195"/>
        <v>0</v>
      </c>
      <c r="AF255" s="379">
        <f t="shared" si="196"/>
        <v>0</v>
      </c>
      <c r="AG255" s="379">
        <f t="shared" si="197"/>
        <v>0</v>
      </c>
      <c r="AH255" s="379">
        <f t="shared" si="198"/>
        <v>0</v>
      </c>
      <c r="AI255" s="379">
        <f t="shared" si="199"/>
        <v>0</v>
      </c>
      <c r="AJ255" s="379">
        <f t="shared" si="200"/>
        <v>0</v>
      </c>
      <c r="AK255" s="379">
        <f t="shared" si="201"/>
        <v>0</v>
      </c>
      <c r="AL255" s="379">
        <f t="shared" si="202"/>
        <v>0</v>
      </c>
      <c r="AM255" s="379">
        <f t="shared" si="203"/>
        <v>0</v>
      </c>
      <c r="AN255" s="490">
        <f t="shared" si="204"/>
        <v>0</v>
      </c>
      <c r="AO255" s="379">
        <f t="shared" si="205"/>
        <v>0</v>
      </c>
      <c r="AP255" s="379">
        <f t="shared" si="206"/>
        <v>0</v>
      </c>
      <c r="AQ255" s="379">
        <f t="shared" si="207"/>
        <v>0</v>
      </c>
      <c r="AR255" s="379">
        <f t="shared" si="208"/>
        <v>0</v>
      </c>
      <c r="AS255" s="379">
        <f t="shared" si="209"/>
        <v>0</v>
      </c>
      <c r="AT255" s="379">
        <f t="shared" si="210"/>
        <v>0</v>
      </c>
      <c r="AU255" s="379">
        <f t="shared" si="211"/>
        <v>0</v>
      </c>
      <c r="AV255" s="379">
        <f t="shared" si="212"/>
        <v>0</v>
      </c>
      <c r="AW255" s="379">
        <f t="shared" si="213"/>
        <v>0</v>
      </c>
      <c r="AX255" s="379">
        <f t="shared" si="214"/>
        <v>0</v>
      </c>
      <c r="AY255" s="379">
        <f t="shared" si="215"/>
        <v>0</v>
      </c>
    </row>
    <row r="256" spans="1:51" x14ac:dyDescent="0.2">
      <c r="A256" s="376">
        <v>12870</v>
      </c>
      <c r="B256" s="378" t="str">
        <f t="shared" si="168"/>
        <v>Federation (A)</v>
      </c>
      <c r="C256" s="377" t="str">
        <f t="shared" si="169"/>
        <v>RAMROC Murray</v>
      </c>
      <c r="D256" s="503" t="str">
        <f t="shared" si="170"/>
        <v>N</v>
      </c>
      <c r="E256" s="503"/>
      <c r="F256"/>
      <c r="G256" s="379">
        <f t="shared" si="171"/>
        <v>12569</v>
      </c>
      <c r="H256" s="379">
        <f t="shared" si="172"/>
        <v>6857</v>
      </c>
      <c r="I256" s="379">
        <f t="shared" si="173"/>
        <v>270</v>
      </c>
      <c r="J256" s="379" t="str">
        <f t="shared" si="174"/>
        <v>Y</v>
      </c>
      <c r="K256" s="379">
        <f t="shared" si="175"/>
        <v>6727</v>
      </c>
      <c r="L256" s="379">
        <f t="shared" si="176"/>
        <v>0</v>
      </c>
      <c r="M256" s="379">
        <f t="shared" si="177"/>
        <v>6058</v>
      </c>
      <c r="N256" s="379">
        <f t="shared" si="178"/>
        <v>0</v>
      </c>
      <c r="O256" s="379">
        <f t="shared" si="179"/>
        <v>6058</v>
      </c>
      <c r="P256" s="379">
        <f t="shared" si="180"/>
        <v>0</v>
      </c>
      <c r="Q256" s="379" t="str">
        <f t="shared" si="181"/>
        <v>Y</v>
      </c>
      <c r="R256" s="379" t="str">
        <f t="shared" si="182"/>
        <v>Corowa Landfill</v>
      </c>
      <c r="S256" s="379" t="str">
        <f t="shared" si="183"/>
        <v>Howlong Landfill</v>
      </c>
      <c r="T256" s="379" t="str">
        <f t="shared" si="184"/>
        <v>Mulwala Transfer station</v>
      </c>
      <c r="U256" s="379" t="str">
        <f t="shared" si="185"/>
        <v>Oaklands Tip</v>
      </c>
      <c r="V256" s="379" t="str">
        <f t="shared" si="186"/>
        <v>Urana Tip</v>
      </c>
      <c r="W256" s="379">
        <f t="shared" si="187"/>
        <v>0</v>
      </c>
      <c r="X256" s="379">
        <f t="shared" si="188"/>
        <v>0</v>
      </c>
      <c r="Y256" s="379">
        <f t="shared" si="189"/>
        <v>0</v>
      </c>
      <c r="Z256" s="379">
        <f t="shared" si="190"/>
        <v>0</v>
      </c>
      <c r="AA256" s="379">
        <f t="shared" si="191"/>
        <v>0</v>
      </c>
      <c r="AB256" s="379">
        <f t="shared" si="192"/>
        <v>0</v>
      </c>
      <c r="AC256" s="379">
        <f t="shared" si="193"/>
        <v>0</v>
      </c>
      <c r="AD256" s="379">
        <f t="shared" si="194"/>
        <v>0</v>
      </c>
      <c r="AE256" s="379">
        <f t="shared" si="195"/>
        <v>0</v>
      </c>
      <c r="AF256" s="379">
        <f t="shared" si="196"/>
        <v>0</v>
      </c>
      <c r="AG256" s="379">
        <f t="shared" si="197"/>
        <v>0</v>
      </c>
      <c r="AH256" s="379">
        <f t="shared" si="198"/>
        <v>0</v>
      </c>
      <c r="AI256" s="379">
        <f t="shared" si="199"/>
        <v>0</v>
      </c>
      <c r="AJ256" s="379">
        <f t="shared" si="200"/>
        <v>0</v>
      </c>
      <c r="AK256" s="379">
        <f t="shared" si="201"/>
        <v>0</v>
      </c>
      <c r="AL256" s="379">
        <f t="shared" si="202"/>
        <v>0</v>
      </c>
      <c r="AM256" s="379">
        <f t="shared" si="203"/>
        <v>0</v>
      </c>
      <c r="AN256" s="490">
        <f t="shared" si="204"/>
        <v>0</v>
      </c>
      <c r="AO256" s="379">
        <f t="shared" si="205"/>
        <v>0</v>
      </c>
      <c r="AP256" s="379">
        <f t="shared" si="206"/>
        <v>0</v>
      </c>
      <c r="AQ256" s="379">
        <f t="shared" si="207"/>
        <v>0</v>
      </c>
      <c r="AR256" s="379">
        <f t="shared" si="208"/>
        <v>0</v>
      </c>
      <c r="AS256" s="379">
        <f t="shared" si="209"/>
        <v>0</v>
      </c>
      <c r="AT256" s="379">
        <f t="shared" si="210"/>
        <v>0</v>
      </c>
      <c r="AU256" s="379">
        <f t="shared" si="211"/>
        <v>0</v>
      </c>
      <c r="AV256" s="379">
        <f t="shared" si="212"/>
        <v>0</v>
      </c>
      <c r="AW256" s="379">
        <f t="shared" si="213"/>
        <v>0</v>
      </c>
      <c r="AX256" s="379">
        <f t="shared" si="214"/>
        <v>0</v>
      </c>
      <c r="AY256" s="379">
        <f t="shared" si="215"/>
        <v>0</v>
      </c>
    </row>
    <row r="257" spans="1:51" x14ac:dyDescent="0.2">
      <c r="A257" s="376">
        <v>12900</v>
      </c>
      <c r="B257" s="378" t="str">
        <f t="shared" si="168"/>
        <v>Forbes (A)</v>
      </c>
      <c r="C257" s="377" t="str">
        <f t="shared" si="169"/>
        <v>NetWaste</v>
      </c>
      <c r="D257" s="503" t="str">
        <f t="shared" si="170"/>
        <v>N</v>
      </c>
      <c r="E257" s="503"/>
      <c r="F257"/>
      <c r="G257" s="379">
        <f t="shared" si="171"/>
        <v>9768</v>
      </c>
      <c r="H257" s="379">
        <f t="shared" si="172"/>
        <v>4621</v>
      </c>
      <c r="I257" s="379">
        <f t="shared" si="173"/>
        <v>455</v>
      </c>
      <c r="J257" s="379" t="str">
        <f t="shared" si="174"/>
        <v>Y</v>
      </c>
      <c r="K257" s="379">
        <f t="shared" si="175"/>
        <v>4172</v>
      </c>
      <c r="L257" s="379">
        <f t="shared" si="176"/>
        <v>0</v>
      </c>
      <c r="M257" s="379">
        <f t="shared" si="177"/>
        <v>3659</v>
      </c>
      <c r="N257" s="379">
        <f t="shared" si="178"/>
        <v>0</v>
      </c>
      <c r="O257" s="379">
        <f t="shared" si="179"/>
        <v>3279</v>
      </c>
      <c r="P257" s="379" t="str">
        <f t="shared" si="180"/>
        <v>Y</v>
      </c>
      <c r="Q257" s="379" t="str">
        <f t="shared" si="181"/>
        <v>Y</v>
      </c>
      <c r="R257" s="379" t="str">
        <f t="shared" si="182"/>
        <v>Daroobalgie</v>
      </c>
      <c r="S257" s="379">
        <f t="shared" si="183"/>
        <v>0</v>
      </c>
      <c r="T257" s="379">
        <f t="shared" si="184"/>
        <v>0</v>
      </c>
      <c r="U257" s="379">
        <f t="shared" si="185"/>
        <v>0</v>
      </c>
      <c r="V257" s="379">
        <f t="shared" si="186"/>
        <v>0</v>
      </c>
      <c r="W257" s="379">
        <f t="shared" si="187"/>
        <v>0</v>
      </c>
      <c r="X257" s="379">
        <f t="shared" si="188"/>
        <v>0</v>
      </c>
      <c r="Y257" s="379">
        <f t="shared" si="189"/>
        <v>0</v>
      </c>
      <c r="Z257" s="379">
        <f t="shared" si="190"/>
        <v>0</v>
      </c>
      <c r="AA257" s="379">
        <f t="shared" si="191"/>
        <v>0</v>
      </c>
      <c r="AB257" s="379">
        <f t="shared" si="192"/>
        <v>0</v>
      </c>
      <c r="AC257" s="379">
        <f t="shared" si="193"/>
        <v>0</v>
      </c>
      <c r="AD257" s="379">
        <f t="shared" si="194"/>
        <v>0</v>
      </c>
      <c r="AE257" s="379">
        <f t="shared" si="195"/>
        <v>0</v>
      </c>
      <c r="AF257" s="379">
        <f t="shared" si="196"/>
        <v>0</v>
      </c>
      <c r="AG257" s="379">
        <f t="shared" si="197"/>
        <v>0</v>
      </c>
      <c r="AH257" s="379">
        <f t="shared" si="198"/>
        <v>0</v>
      </c>
      <c r="AI257" s="379">
        <f t="shared" si="199"/>
        <v>0</v>
      </c>
      <c r="AJ257" s="379">
        <f t="shared" si="200"/>
        <v>0</v>
      </c>
      <c r="AK257" s="379">
        <f t="shared" si="201"/>
        <v>0</v>
      </c>
      <c r="AL257" s="379">
        <f t="shared" si="202"/>
        <v>0</v>
      </c>
      <c r="AM257" s="379">
        <f t="shared" si="203"/>
        <v>0</v>
      </c>
      <c r="AN257" s="490">
        <f t="shared" si="204"/>
        <v>0</v>
      </c>
      <c r="AO257" s="379">
        <f t="shared" si="205"/>
        <v>0</v>
      </c>
      <c r="AP257" s="379">
        <f t="shared" si="206"/>
        <v>0</v>
      </c>
      <c r="AQ257" s="379">
        <f t="shared" si="207"/>
        <v>0</v>
      </c>
      <c r="AR257" s="379">
        <f t="shared" si="208"/>
        <v>0</v>
      </c>
      <c r="AS257" s="379">
        <f t="shared" si="209"/>
        <v>0</v>
      </c>
      <c r="AT257" s="379">
        <f t="shared" si="210"/>
        <v>0</v>
      </c>
      <c r="AU257" s="379">
        <f t="shared" si="211"/>
        <v>0</v>
      </c>
      <c r="AV257" s="379">
        <f t="shared" si="212"/>
        <v>0</v>
      </c>
      <c r="AW257" s="379">
        <f t="shared" si="213"/>
        <v>0</v>
      </c>
      <c r="AX257" s="379">
        <f t="shared" si="214"/>
        <v>0</v>
      </c>
      <c r="AY257" s="379">
        <f t="shared" si="215"/>
        <v>0</v>
      </c>
    </row>
    <row r="258" spans="1:51" x14ac:dyDescent="0.2">
      <c r="A258" s="376">
        <v>12950</v>
      </c>
      <c r="B258" s="378" t="str">
        <f t="shared" si="168"/>
        <v>Gilgandra (A)</v>
      </c>
      <c r="C258" s="377" t="str">
        <f t="shared" si="169"/>
        <v>NetWaste</v>
      </c>
      <c r="D258" s="503" t="str">
        <f t="shared" si="170"/>
        <v>N</v>
      </c>
      <c r="E258" s="503"/>
      <c r="F258"/>
      <c r="G258" s="379">
        <f t="shared" si="171"/>
        <v>4349</v>
      </c>
      <c r="H258" s="379">
        <f t="shared" si="172"/>
        <v>2097</v>
      </c>
      <c r="I258" s="379">
        <f t="shared" si="173"/>
        <v>379</v>
      </c>
      <c r="J258" s="379" t="str">
        <f t="shared" si="174"/>
        <v>Y</v>
      </c>
      <c r="K258" s="379">
        <f t="shared" si="175"/>
        <v>1069</v>
      </c>
      <c r="L258" s="379">
        <f t="shared" si="176"/>
        <v>0</v>
      </c>
      <c r="M258" s="379">
        <f t="shared" si="177"/>
        <v>1069</v>
      </c>
      <c r="N258" s="379">
        <f t="shared" si="178"/>
        <v>0</v>
      </c>
      <c r="O258" s="379">
        <f t="shared" si="179"/>
        <v>0</v>
      </c>
      <c r="P258" s="379">
        <f t="shared" si="180"/>
        <v>0</v>
      </c>
      <c r="Q258" s="379" t="str">
        <f t="shared" si="181"/>
        <v>Y</v>
      </c>
      <c r="R258" s="379" t="str">
        <f t="shared" si="182"/>
        <v>Gilgandra Waste Facility:Scrap steel</v>
      </c>
      <c r="S258" s="379" t="str">
        <f t="shared" si="183"/>
        <v>Tooraweenah Recycling Drop-off</v>
      </c>
      <c r="T258" s="379" t="str">
        <f t="shared" si="184"/>
        <v>Armatree Recycling Drop-off</v>
      </c>
      <c r="U258" s="379" t="str">
        <f t="shared" si="185"/>
        <v>Gilgandra Waste Facility: rural recycling</v>
      </c>
      <c r="V258" s="379">
        <f t="shared" si="186"/>
        <v>0</v>
      </c>
      <c r="W258" s="379">
        <f t="shared" si="187"/>
        <v>0</v>
      </c>
      <c r="X258" s="379">
        <f t="shared" si="188"/>
        <v>0</v>
      </c>
      <c r="Y258" s="379">
        <f t="shared" si="189"/>
        <v>0</v>
      </c>
      <c r="Z258" s="379">
        <f t="shared" si="190"/>
        <v>0</v>
      </c>
      <c r="AA258" s="379">
        <f t="shared" si="191"/>
        <v>0</v>
      </c>
      <c r="AB258" s="379">
        <f t="shared" si="192"/>
        <v>0</v>
      </c>
      <c r="AC258" s="379">
        <f t="shared" si="193"/>
        <v>0</v>
      </c>
      <c r="AD258" s="379">
        <f t="shared" si="194"/>
        <v>0</v>
      </c>
      <c r="AE258" s="379">
        <f t="shared" si="195"/>
        <v>0</v>
      </c>
      <c r="AF258" s="379">
        <f t="shared" si="196"/>
        <v>0</v>
      </c>
      <c r="AG258" s="379">
        <f t="shared" si="197"/>
        <v>0</v>
      </c>
      <c r="AH258" s="379">
        <f t="shared" si="198"/>
        <v>0</v>
      </c>
      <c r="AI258" s="379">
        <f t="shared" si="199"/>
        <v>0</v>
      </c>
      <c r="AJ258" s="379">
        <f t="shared" si="200"/>
        <v>0</v>
      </c>
      <c r="AK258" s="379">
        <f t="shared" si="201"/>
        <v>0</v>
      </c>
      <c r="AL258" s="379">
        <f t="shared" si="202"/>
        <v>0</v>
      </c>
      <c r="AM258" s="379">
        <f t="shared" si="203"/>
        <v>0</v>
      </c>
      <c r="AN258" s="490">
        <f t="shared" si="204"/>
        <v>0</v>
      </c>
      <c r="AO258" s="379">
        <f t="shared" si="205"/>
        <v>0</v>
      </c>
      <c r="AP258" s="379">
        <f t="shared" si="206"/>
        <v>0</v>
      </c>
      <c r="AQ258" s="379">
        <f t="shared" si="207"/>
        <v>0</v>
      </c>
      <c r="AR258" s="379">
        <f t="shared" si="208"/>
        <v>0</v>
      </c>
      <c r="AS258" s="379">
        <f t="shared" si="209"/>
        <v>0</v>
      </c>
      <c r="AT258" s="379">
        <f t="shared" si="210"/>
        <v>0</v>
      </c>
      <c r="AU258" s="379">
        <f t="shared" si="211"/>
        <v>0</v>
      </c>
      <c r="AV258" s="379">
        <f t="shared" si="212"/>
        <v>0</v>
      </c>
      <c r="AW258" s="379">
        <f t="shared" si="213"/>
        <v>0</v>
      </c>
      <c r="AX258" s="379">
        <f t="shared" si="214"/>
        <v>0</v>
      </c>
      <c r="AY258" s="379">
        <f t="shared" si="215"/>
        <v>0</v>
      </c>
    </row>
    <row r="259" spans="1:51" x14ac:dyDescent="0.2">
      <c r="A259" s="376">
        <v>13010</v>
      </c>
      <c r="B259" s="378" t="str">
        <f t="shared" si="168"/>
        <v>Glen Innes Severn (A)</v>
      </c>
      <c r="C259" s="377" t="str">
        <f t="shared" si="169"/>
        <v>NIRW</v>
      </c>
      <c r="D259" s="503" t="str">
        <f t="shared" si="170"/>
        <v>N</v>
      </c>
      <c r="E259" s="503"/>
      <c r="F259"/>
      <c r="G259" s="379">
        <f t="shared" si="171"/>
        <v>9001</v>
      </c>
      <c r="H259" s="379">
        <f t="shared" si="172"/>
        <v>4280</v>
      </c>
      <c r="I259" s="379">
        <f t="shared" si="173"/>
        <v>300</v>
      </c>
      <c r="J259" s="379" t="str">
        <f t="shared" si="174"/>
        <v>Y</v>
      </c>
      <c r="K259" s="379">
        <f t="shared" si="175"/>
        <v>3792</v>
      </c>
      <c r="L259" s="379">
        <f t="shared" si="176"/>
        <v>0</v>
      </c>
      <c r="M259" s="379">
        <f t="shared" si="177"/>
        <v>3792</v>
      </c>
      <c r="N259" s="379">
        <f t="shared" si="178"/>
        <v>0</v>
      </c>
      <c r="O259" s="379">
        <f t="shared" si="179"/>
        <v>0</v>
      </c>
      <c r="P259" s="379">
        <f t="shared" si="180"/>
        <v>0</v>
      </c>
      <c r="Q259" s="379" t="str">
        <f t="shared" si="181"/>
        <v>Y</v>
      </c>
      <c r="R259" s="379" t="str">
        <f t="shared" si="182"/>
        <v>Glen Innes and District Community Recycling Centre</v>
      </c>
      <c r="S259" s="379" t="str">
        <f t="shared" si="183"/>
        <v>Emmavliie Landfill</v>
      </c>
      <c r="T259" s="379" t="str">
        <f t="shared" si="184"/>
        <v>Deepwater Landfill</v>
      </c>
      <c r="U259" s="379" t="str">
        <f t="shared" si="185"/>
        <v>Red Range Landfill</v>
      </c>
      <c r="V259" s="379">
        <f t="shared" si="186"/>
        <v>0</v>
      </c>
      <c r="W259" s="379">
        <f t="shared" si="187"/>
        <v>0</v>
      </c>
      <c r="X259" s="379">
        <f t="shared" si="188"/>
        <v>0</v>
      </c>
      <c r="Y259" s="379">
        <f t="shared" si="189"/>
        <v>0</v>
      </c>
      <c r="Z259" s="379">
        <f t="shared" si="190"/>
        <v>0</v>
      </c>
      <c r="AA259" s="379">
        <f t="shared" si="191"/>
        <v>0</v>
      </c>
      <c r="AB259" s="379">
        <f t="shared" si="192"/>
        <v>0</v>
      </c>
      <c r="AC259" s="379">
        <f t="shared" si="193"/>
        <v>0</v>
      </c>
      <c r="AD259" s="379">
        <f t="shared" si="194"/>
        <v>0</v>
      </c>
      <c r="AE259" s="379">
        <f t="shared" si="195"/>
        <v>0</v>
      </c>
      <c r="AF259" s="379">
        <f t="shared" si="196"/>
        <v>0</v>
      </c>
      <c r="AG259" s="379">
        <f t="shared" si="197"/>
        <v>0</v>
      </c>
      <c r="AH259" s="379">
        <f t="shared" si="198"/>
        <v>0</v>
      </c>
      <c r="AI259" s="379">
        <f t="shared" si="199"/>
        <v>0</v>
      </c>
      <c r="AJ259" s="379">
        <f t="shared" si="200"/>
        <v>0</v>
      </c>
      <c r="AK259" s="379">
        <f t="shared" si="201"/>
        <v>0</v>
      </c>
      <c r="AL259" s="379">
        <f t="shared" si="202"/>
        <v>0</v>
      </c>
      <c r="AM259" s="379">
        <f t="shared" si="203"/>
        <v>0</v>
      </c>
      <c r="AN259" s="490">
        <f t="shared" si="204"/>
        <v>0</v>
      </c>
      <c r="AO259" s="379">
        <f t="shared" si="205"/>
        <v>0</v>
      </c>
      <c r="AP259" s="379">
        <f t="shared" si="206"/>
        <v>0</v>
      </c>
      <c r="AQ259" s="379">
        <f t="shared" si="207"/>
        <v>0</v>
      </c>
      <c r="AR259" s="379">
        <f t="shared" si="208"/>
        <v>0</v>
      </c>
      <c r="AS259" s="379">
        <f t="shared" si="209"/>
        <v>0</v>
      </c>
      <c r="AT259" s="379">
        <f t="shared" si="210"/>
        <v>0</v>
      </c>
      <c r="AU259" s="379">
        <f t="shared" si="211"/>
        <v>0</v>
      </c>
      <c r="AV259" s="379">
        <f t="shared" si="212"/>
        <v>0</v>
      </c>
      <c r="AW259" s="379">
        <f t="shared" si="213"/>
        <v>0</v>
      </c>
      <c r="AX259" s="379">
        <f t="shared" si="214"/>
        <v>0</v>
      </c>
      <c r="AY259" s="379">
        <f t="shared" si="215"/>
        <v>0</v>
      </c>
    </row>
    <row r="260" spans="1:51" x14ac:dyDescent="0.2">
      <c r="A260" s="376">
        <v>13310</v>
      </c>
      <c r="B260" s="378" t="str">
        <f t="shared" si="168"/>
        <v>Goulburn Mulwaree (A)</v>
      </c>
      <c r="C260" s="377" t="str">
        <f t="shared" si="169"/>
        <v>CBRJO</v>
      </c>
      <c r="D260" s="503" t="str">
        <f t="shared" si="170"/>
        <v>N</v>
      </c>
      <c r="E260" s="503"/>
      <c r="F260"/>
      <c r="G260" s="379">
        <f t="shared" si="171"/>
        <v>29918</v>
      </c>
      <c r="H260" s="379">
        <f t="shared" si="172"/>
        <v>14019</v>
      </c>
      <c r="I260" s="379">
        <f t="shared" si="173"/>
        <v>287</v>
      </c>
      <c r="J260" s="379" t="str">
        <f t="shared" si="174"/>
        <v>Y</v>
      </c>
      <c r="K260" s="379">
        <f t="shared" si="175"/>
        <v>10750</v>
      </c>
      <c r="L260" s="379">
        <f t="shared" si="176"/>
        <v>0</v>
      </c>
      <c r="M260" s="379">
        <f t="shared" si="177"/>
        <v>10771</v>
      </c>
      <c r="N260" s="379">
        <f t="shared" si="178"/>
        <v>0</v>
      </c>
      <c r="O260" s="379">
        <f t="shared" si="179"/>
        <v>4297</v>
      </c>
      <c r="P260" s="379" t="str">
        <f t="shared" si="180"/>
        <v>Y</v>
      </c>
      <c r="Q260" s="379" t="str">
        <f t="shared" si="181"/>
        <v>Y</v>
      </c>
      <c r="R260" s="379" t="str">
        <f t="shared" si="182"/>
        <v>Goulburn Waste Management Centre</v>
      </c>
      <c r="S260" s="379" t="str">
        <f t="shared" si="183"/>
        <v>Marulan Waste Management Centre</v>
      </c>
      <c r="T260" s="379" t="str">
        <f t="shared" si="184"/>
        <v>Tarago Waste Management Centre</v>
      </c>
      <c r="U260" s="379">
        <f t="shared" si="185"/>
        <v>0</v>
      </c>
      <c r="V260" s="379">
        <f t="shared" si="186"/>
        <v>0</v>
      </c>
      <c r="W260" s="379">
        <f t="shared" si="187"/>
        <v>0</v>
      </c>
      <c r="X260" s="379">
        <f t="shared" si="188"/>
        <v>0</v>
      </c>
      <c r="Y260" s="379">
        <f t="shared" si="189"/>
        <v>0</v>
      </c>
      <c r="Z260" s="379">
        <f t="shared" si="190"/>
        <v>0</v>
      </c>
      <c r="AA260" s="379">
        <f t="shared" si="191"/>
        <v>0</v>
      </c>
      <c r="AB260" s="379">
        <f t="shared" si="192"/>
        <v>0</v>
      </c>
      <c r="AC260" s="379">
        <f t="shared" si="193"/>
        <v>0</v>
      </c>
      <c r="AD260" s="379">
        <f t="shared" si="194"/>
        <v>0</v>
      </c>
      <c r="AE260" s="379">
        <f t="shared" si="195"/>
        <v>0</v>
      </c>
      <c r="AF260" s="379">
        <f t="shared" si="196"/>
        <v>0</v>
      </c>
      <c r="AG260" s="379">
        <f t="shared" si="197"/>
        <v>0</v>
      </c>
      <c r="AH260" s="379">
        <f t="shared" si="198"/>
        <v>0</v>
      </c>
      <c r="AI260" s="379">
        <f t="shared" si="199"/>
        <v>0</v>
      </c>
      <c r="AJ260" s="379">
        <f t="shared" si="200"/>
        <v>0</v>
      </c>
      <c r="AK260" s="379">
        <f t="shared" si="201"/>
        <v>0</v>
      </c>
      <c r="AL260" s="379">
        <f t="shared" si="202"/>
        <v>0</v>
      </c>
      <c r="AM260" s="379">
        <f t="shared" si="203"/>
        <v>0</v>
      </c>
      <c r="AN260" s="490">
        <f t="shared" si="204"/>
        <v>0</v>
      </c>
      <c r="AO260" s="379">
        <f t="shared" si="205"/>
        <v>0</v>
      </c>
      <c r="AP260" s="379">
        <f t="shared" si="206"/>
        <v>0</v>
      </c>
      <c r="AQ260" s="379">
        <f t="shared" si="207"/>
        <v>0</v>
      </c>
      <c r="AR260" s="379">
        <f t="shared" si="208"/>
        <v>0</v>
      </c>
      <c r="AS260" s="379">
        <f t="shared" si="209"/>
        <v>0</v>
      </c>
      <c r="AT260" s="379">
        <f t="shared" si="210"/>
        <v>0</v>
      </c>
      <c r="AU260" s="379">
        <f t="shared" si="211"/>
        <v>0</v>
      </c>
      <c r="AV260" s="379">
        <f t="shared" si="212"/>
        <v>0</v>
      </c>
      <c r="AW260" s="379">
        <f t="shared" si="213"/>
        <v>0</v>
      </c>
      <c r="AX260" s="379">
        <f t="shared" si="214"/>
        <v>0</v>
      </c>
      <c r="AY260" s="379">
        <f t="shared" si="215"/>
        <v>0</v>
      </c>
    </row>
    <row r="261" spans="1:51" x14ac:dyDescent="0.2">
      <c r="A261" s="376">
        <v>13340</v>
      </c>
      <c r="B261" s="378" t="str">
        <f t="shared" si="168"/>
        <v>Greater Hume Shire (A)</v>
      </c>
      <c r="C261" s="377" t="str">
        <f t="shared" si="169"/>
        <v>REROC</v>
      </c>
      <c r="D261" s="503" t="str">
        <f t="shared" si="170"/>
        <v>N</v>
      </c>
      <c r="E261" s="503"/>
      <c r="F261"/>
      <c r="G261" s="379">
        <f t="shared" si="171"/>
        <v>10406</v>
      </c>
      <c r="H261" s="379">
        <f t="shared" si="172"/>
        <v>3620</v>
      </c>
      <c r="I261" s="379">
        <f t="shared" si="173"/>
        <v>239</v>
      </c>
      <c r="J261" s="379" t="str">
        <f t="shared" si="174"/>
        <v>Y</v>
      </c>
      <c r="K261" s="379">
        <f t="shared" si="175"/>
        <v>2930</v>
      </c>
      <c r="L261" s="379">
        <f t="shared" si="176"/>
        <v>0</v>
      </c>
      <c r="M261" s="379">
        <f t="shared" si="177"/>
        <v>2880</v>
      </c>
      <c r="N261" s="379">
        <f t="shared" si="178"/>
        <v>0</v>
      </c>
      <c r="O261" s="379">
        <f t="shared" si="179"/>
        <v>0</v>
      </c>
      <c r="P261" s="379">
        <f t="shared" si="180"/>
        <v>0</v>
      </c>
      <c r="Q261" s="379" t="str">
        <f t="shared" si="181"/>
        <v>Y</v>
      </c>
      <c r="R261" s="379" t="str">
        <f t="shared" si="182"/>
        <v>culcairn</v>
      </c>
      <c r="S261" s="379" t="str">
        <f t="shared" si="183"/>
        <v>Holbrook</v>
      </c>
      <c r="T261" s="379" t="str">
        <f t="shared" si="184"/>
        <v>Brocklesby</v>
      </c>
      <c r="U261" s="379" t="str">
        <f t="shared" si="185"/>
        <v>Gerogery</v>
      </c>
      <c r="V261" s="379" t="str">
        <f t="shared" si="186"/>
        <v>Jindera</v>
      </c>
      <c r="W261" s="379" t="str">
        <f t="shared" si="187"/>
        <v>other</v>
      </c>
      <c r="X261" s="379">
        <f t="shared" si="188"/>
        <v>0</v>
      </c>
      <c r="Y261" s="379">
        <f t="shared" si="189"/>
        <v>0</v>
      </c>
      <c r="Z261" s="379">
        <f t="shared" si="190"/>
        <v>0</v>
      </c>
      <c r="AA261" s="379">
        <f t="shared" si="191"/>
        <v>0</v>
      </c>
      <c r="AB261" s="379">
        <f t="shared" si="192"/>
        <v>0</v>
      </c>
      <c r="AC261" s="379">
        <f t="shared" si="193"/>
        <v>0</v>
      </c>
      <c r="AD261" s="379">
        <f t="shared" si="194"/>
        <v>0</v>
      </c>
      <c r="AE261" s="379">
        <f t="shared" si="195"/>
        <v>0</v>
      </c>
      <c r="AF261" s="379">
        <f t="shared" si="196"/>
        <v>0</v>
      </c>
      <c r="AG261" s="379">
        <f t="shared" si="197"/>
        <v>0</v>
      </c>
      <c r="AH261" s="379">
        <f t="shared" si="198"/>
        <v>0</v>
      </c>
      <c r="AI261" s="379">
        <f t="shared" si="199"/>
        <v>0</v>
      </c>
      <c r="AJ261" s="379">
        <f t="shared" si="200"/>
        <v>0</v>
      </c>
      <c r="AK261" s="379">
        <f t="shared" si="201"/>
        <v>0</v>
      </c>
      <c r="AL261" s="379">
        <f t="shared" si="202"/>
        <v>0</v>
      </c>
      <c r="AM261" s="379">
        <f t="shared" si="203"/>
        <v>0</v>
      </c>
      <c r="AN261" s="490">
        <f t="shared" si="204"/>
        <v>0</v>
      </c>
      <c r="AO261" s="379">
        <f t="shared" si="205"/>
        <v>0</v>
      </c>
      <c r="AP261" s="379">
        <f t="shared" si="206"/>
        <v>0</v>
      </c>
      <c r="AQ261" s="379">
        <f t="shared" si="207"/>
        <v>0</v>
      </c>
      <c r="AR261" s="379">
        <f t="shared" si="208"/>
        <v>0</v>
      </c>
      <c r="AS261" s="379">
        <f t="shared" si="209"/>
        <v>0</v>
      </c>
      <c r="AT261" s="379">
        <f t="shared" si="210"/>
        <v>0</v>
      </c>
      <c r="AU261" s="379">
        <f t="shared" si="211"/>
        <v>0</v>
      </c>
      <c r="AV261" s="379">
        <f t="shared" si="212"/>
        <v>0</v>
      </c>
      <c r="AW261" s="379">
        <f t="shared" si="213"/>
        <v>0</v>
      </c>
      <c r="AX261" s="379">
        <f t="shared" si="214"/>
        <v>0</v>
      </c>
      <c r="AY261" s="379">
        <f t="shared" si="215"/>
        <v>0</v>
      </c>
    </row>
    <row r="262" spans="1:51" x14ac:dyDescent="0.2">
      <c r="A262" s="376">
        <v>13450</v>
      </c>
      <c r="B262" s="378" t="str">
        <f t="shared" si="168"/>
        <v>Griffith (C)</v>
      </c>
      <c r="C262" s="377" t="str">
        <f t="shared" si="169"/>
        <v>RAMROC Riverina</v>
      </c>
      <c r="D262" s="503" t="str">
        <f t="shared" si="170"/>
        <v>N</v>
      </c>
      <c r="E262" s="503"/>
      <c r="F262"/>
      <c r="G262" s="379">
        <f t="shared" si="171"/>
        <v>26125</v>
      </c>
      <c r="H262" s="379">
        <f t="shared" si="172"/>
        <v>10531</v>
      </c>
      <c r="I262" s="379">
        <f t="shared" si="173"/>
        <v>268</v>
      </c>
      <c r="J262" s="379" t="str">
        <f t="shared" si="174"/>
        <v>Y</v>
      </c>
      <c r="K262" s="379">
        <f t="shared" si="175"/>
        <v>9426</v>
      </c>
      <c r="L262" s="379">
        <f t="shared" si="176"/>
        <v>0</v>
      </c>
      <c r="M262" s="379">
        <f t="shared" si="177"/>
        <v>8806</v>
      </c>
      <c r="N262" s="379">
        <f t="shared" si="178"/>
        <v>0</v>
      </c>
      <c r="O262" s="379">
        <f t="shared" si="179"/>
        <v>0</v>
      </c>
      <c r="P262" s="379">
        <f t="shared" si="180"/>
        <v>0</v>
      </c>
      <c r="Q262" s="379" t="str">
        <f t="shared" si="181"/>
        <v>Y</v>
      </c>
      <c r="R262" s="379" t="str">
        <f t="shared" si="182"/>
        <v>Tharbogang Waste Transfer Station</v>
      </c>
      <c r="S262" s="379">
        <f t="shared" si="183"/>
        <v>0</v>
      </c>
      <c r="T262" s="379">
        <f t="shared" si="184"/>
        <v>0</v>
      </c>
      <c r="U262" s="379">
        <f t="shared" si="185"/>
        <v>0</v>
      </c>
      <c r="V262" s="379">
        <f t="shared" si="186"/>
        <v>0</v>
      </c>
      <c r="W262" s="379">
        <f t="shared" si="187"/>
        <v>0</v>
      </c>
      <c r="X262" s="379">
        <f t="shared" si="188"/>
        <v>0</v>
      </c>
      <c r="Y262" s="379">
        <f t="shared" si="189"/>
        <v>0</v>
      </c>
      <c r="Z262" s="379">
        <f t="shared" si="190"/>
        <v>0</v>
      </c>
      <c r="AA262" s="379">
        <f t="shared" si="191"/>
        <v>0</v>
      </c>
      <c r="AB262" s="379">
        <f t="shared" si="192"/>
        <v>0</v>
      </c>
      <c r="AC262" s="379">
        <f t="shared" si="193"/>
        <v>0</v>
      </c>
      <c r="AD262" s="379">
        <f t="shared" si="194"/>
        <v>0</v>
      </c>
      <c r="AE262" s="379">
        <f t="shared" si="195"/>
        <v>0</v>
      </c>
      <c r="AF262" s="379">
        <f t="shared" si="196"/>
        <v>0</v>
      </c>
      <c r="AG262" s="379">
        <f t="shared" si="197"/>
        <v>0</v>
      </c>
      <c r="AH262" s="379">
        <f t="shared" si="198"/>
        <v>0</v>
      </c>
      <c r="AI262" s="379">
        <f t="shared" si="199"/>
        <v>0</v>
      </c>
      <c r="AJ262" s="379">
        <f t="shared" si="200"/>
        <v>0</v>
      </c>
      <c r="AK262" s="379">
        <f t="shared" si="201"/>
        <v>0</v>
      </c>
      <c r="AL262" s="379">
        <f t="shared" si="202"/>
        <v>0</v>
      </c>
      <c r="AM262" s="379">
        <f t="shared" si="203"/>
        <v>0</v>
      </c>
      <c r="AN262" s="490">
        <f t="shared" si="204"/>
        <v>0</v>
      </c>
      <c r="AO262" s="379">
        <f t="shared" si="205"/>
        <v>0</v>
      </c>
      <c r="AP262" s="379">
        <f t="shared" si="206"/>
        <v>0</v>
      </c>
      <c r="AQ262" s="379">
        <f t="shared" si="207"/>
        <v>0</v>
      </c>
      <c r="AR262" s="379">
        <f t="shared" si="208"/>
        <v>0</v>
      </c>
      <c r="AS262" s="379">
        <f t="shared" si="209"/>
        <v>0</v>
      </c>
      <c r="AT262" s="379">
        <f t="shared" si="210"/>
        <v>0</v>
      </c>
      <c r="AU262" s="379">
        <f t="shared" si="211"/>
        <v>0</v>
      </c>
      <c r="AV262" s="379">
        <f t="shared" si="212"/>
        <v>0</v>
      </c>
      <c r="AW262" s="379">
        <f t="shared" si="213"/>
        <v>0</v>
      </c>
      <c r="AX262" s="379">
        <f t="shared" si="214"/>
        <v>0</v>
      </c>
      <c r="AY262" s="379">
        <f t="shared" si="215"/>
        <v>0</v>
      </c>
    </row>
    <row r="263" spans="1:51" x14ac:dyDescent="0.2">
      <c r="A263" s="376">
        <v>13510</v>
      </c>
      <c r="B263" s="378" t="str">
        <f t="shared" si="168"/>
        <v>Gundagai - Cootamundra (A)</v>
      </c>
      <c r="C263" s="377" t="str">
        <f t="shared" si="169"/>
        <v>REROC</v>
      </c>
      <c r="D263" s="503" t="str">
        <f t="shared" si="170"/>
        <v>N</v>
      </c>
      <c r="E263" s="503"/>
      <c r="F263"/>
      <c r="G263" s="379">
        <f t="shared" si="171"/>
        <v>11392</v>
      </c>
      <c r="H263" s="379">
        <f t="shared" si="172"/>
        <v>5193</v>
      </c>
      <c r="I263" s="379">
        <f t="shared" si="173"/>
        <v>385.5</v>
      </c>
      <c r="J263" s="379" t="str">
        <f t="shared" si="174"/>
        <v>Y</v>
      </c>
      <c r="K263" s="379">
        <f t="shared" si="175"/>
        <v>5193</v>
      </c>
      <c r="L263" s="379">
        <f t="shared" si="176"/>
        <v>0</v>
      </c>
      <c r="M263" s="379">
        <f t="shared" si="177"/>
        <v>5193</v>
      </c>
      <c r="N263" s="379">
        <f t="shared" si="178"/>
        <v>3495</v>
      </c>
      <c r="O263" s="379">
        <f t="shared" si="179"/>
        <v>880</v>
      </c>
      <c r="P263" s="379">
        <f t="shared" si="180"/>
        <v>0</v>
      </c>
      <c r="Q263" s="379" t="str">
        <f t="shared" si="181"/>
        <v>Y</v>
      </c>
      <c r="R263" s="379" t="str">
        <f t="shared" si="182"/>
        <v>Turners Lane</v>
      </c>
      <c r="S263" s="379" t="str">
        <f t="shared" si="183"/>
        <v>Stockinbingal Landfill</v>
      </c>
      <c r="T263" s="379" t="str">
        <f t="shared" si="184"/>
        <v>Wallendbeen Landfill</v>
      </c>
      <c r="U263" s="379" t="str">
        <f t="shared" si="185"/>
        <v xml:space="preserve">Gundagai Landfill </v>
      </c>
      <c r="V263" s="379" t="str">
        <f t="shared" si="186"/>
        <v>4 transfer stations</v>
      </c>
      <c r="W263" s="379">
        <f t="shared" si="187"/>
        <v>0</v>
      </c>
      <c r="X263" s="379">
        <f t="shared" si="188"/>
        <v>0</v>
      </c>
      <c r="Y263" s="379">
        <f t="shared" si="189"/>
        <v>0</v>
      </c>
      <c r="Z263" s="379">
        <f t="shared" si="190"/>
        <v>0</v>
      </c>
      <c r="AA263" s="379">
        <f t="shared" si="191"/>
        <v>0</v>
      </c>
      <c r="AB263" s="379">
        <f t="shared" si="192"/>
        <v>0</v>
      </c>
      <c r="AC263" s="379">
        <f t="shared" si="193"/>
        <v>0</v>
      </c>
      <c r="AD263" s="379">
        <f t="shared" si="194"/>
        <v>0</v>
      </c>
      <c r="AE263" s="379">
        <f t="shared" si="195"/>
        <v>0</v>
      </c>
      <c r="AF263" s="379">
        <f t="shared" si="196"/>
        <v>0</v>
      </c>
      <c r="AG263" s="379">
        <f t="shared" si="197"/>
        <v>0</v>
      </c>
      <c r="AH263" s="379">
        <f t="shared" si="198"/>
        <v>0</v>
      </c>
      <c r="AI263" s="379">
        <f t="shared" si="199"/>
        <v>0</v>
      </c>
      <c r="AJ263" s="379">
        <f t="shared" si="200"/>
        <v>0</v>
      </c>
      <c r="AK263" s="379">
        <f t="shared" si="201"/>
        <v>0</v>
      </c>
      <c r="AL263" s="379">
        <f t="shared" si="202"/>
        <v>0</v>
      </c>
      <c r="AM263" s="379">
        <f t="shared" si="203"/>
        <v>0</v>
      </c>
      <c r="AN263" s="490">
        <f t="shared" si="204"/>
        <v>0</v>
      </c>
      <c r="AO263" s="379">
        <f t="shared" si="205"/>
        <v>0</v>
      </c>
      <c r="AP263" s="379">
        <f t="shared" si="206"/>
        <v>0</v>
      </c>
      <c r="AQ263" s="379">
        <f t="shared" si="207"/>
        <v>0</v>
      </c>
      <c r="AR263" s="379">
        <f t="shared" si="208"/>
        <v>0</v>
      </c>
      <c r="AS263" s="379">
        <f t="shared" si="209"/>
        <v>0</v>
      </c>
      <c r="AT263" s="379">
        <f t="shared" si="210"/>
        <v>0</v>
      </c>
      <c r="AU263" s="379">
        <f t="shared" si="211"/>
        <v>0</v>
      </c>
      <c r="AV263" s="379">
        <f t="shared" si="212"/>
        <v>0</v>
      </c>
      <c r="AW263" s="379">
        <f t="shared" si="213"/>
        <v>0</v>
      </c>
      <c r="AX263" s="379">
        <f t="shared" si="214"/>
        <v>0</v>
      </c>
      <c r="AY263" s="379">
        <f t="shared" si="215"/>
        <v>0</v>
      </c>
    </row>
    <row r="264" spans="1:51" x14ac:dyDescent="0.2">
      <c r="A264" s="376">
        <v>13550</v>
      </c>
      <c r="B264" s="378" t="str">
        <f t="shared" si="168"/>
        <v>Gunnedah (A)</v>
      </c>
      <c r="C264" s="377" t="str">
        <f t="shared" si="169"/>
        <v>NIRW</v>
      </c>
      <c r="D264" s="503" t="str">
        <f t="shared" si="170"/>
        <v>N</v>
      </c>
      <c r="E264" s="503"/>
      <c r="F264"/>
      <c r="G264" s="379">
        <f t="shared" si="171"/>
        <v>12989</v>
      </c>
      <c r="H264" s="379">
        <f t="shared" si="172"/>
        <v>4277</v>
      </c>
      <c r="I264" s="379">
        <f t="shared" si="173"/>
        <v>344</v>
      </c>
      <c r="J264" s="379" t="str">
        <f t="shared" si="174"/>
        <v>Y</v>
      </c>
      <c r="K264" s="379">
        <f t="shared" si="175"/>
        <v>4277</v>
      </c>
      <c r="L264" s="379">
        <f t="shared" si="176"/>
        <v>0</v>
      </c>
      <c r="M264" s="379">
        <f t="shared" si="177"/>
        <v>4277</v>
      </c>
      <c r="N264" s="379">
        <f t="shared" si="178"/>
        <v>3392</v>
      </c>
      <c r="O264" s="379">
        <f t="shared" si="179"/>
        <v>0</v>
      </c>
      <c r="P264" s="379">
        <f t="shared" si="180"/>
        <v>0</v>
      </c>
      <c r="Q264" s="379" t="str">
        <f t="shared" si="181"/>
        <v>Y</v>
      </c>
      <c r="R264" s="379" t="str">
        <f t="shared" si="182"/>
        <v>Gunnedah Waste Management Facility</v>
      </c>
      <c r="S264" s="379" t="str">
        <f t="shared" si="183"/>
        <v>Curlewis Waste Facility</v>
      </c>
      <c r="T264" s="379" t="str">
        <f t="shared" si="184"/>
        <v>Carroll Waste Facility</v>
      </c>
      <c r="U264" s="379" t="str">
        <f t="shared" si="185"/>
        <v>Mullaley Waste Facility</v>
      </c>
      <c r="V264" s="379" t="str">
        <f t="shared" si="186"/>
        <v>Breeza Waste Facility</v>
      </c>
      <c r="W264" s="379" t="str">
        <f t="shared" si="187"/>
        <v>Tambar Springs Facility</v>
      </c>
      <c r="X264" s="379">
        <f t="shared" si="188"/>
        <v>0</v>
      </c>
      <c r="Y264" s="379">
        <f t="shared" si="189"/>
        <v>0</v>
      </c>
      <c r="Z264" s="379">
        <f t="shared" si="190"/>
        <v>0</v>
      </c>
      <c r="AA264" s="379">
        <f t="shared" si="191"/>
        <v>0</v>
      </c>
      <c r="AB264" s="379">
        <f t="shared" si="192"/>
        <v>0</v>
      </c>
      <c r="AC264" s="379">
        <f t="shared" si="193"/>
        <v>0</v>
      </c>
      <c r="AD264" s="379">
        <f t="shared" si="194"/>
        <v>0</v>
      </c>
      <c r="AE264" s="379">
        <f t="shared" si="195"/>
        <v>0</v>
      </c>
      <c r="AF264" s="379">
        <f t="shared" si="196"/>
        <v>0</v>
      </c>
      <c r="AG264" s="379">
        <f t="shared" si="197"/>
        <v>0</v>
      </c>
      <c r="AH264" s="379">
        <f t="shared" si="198"/>
        <v>0</v>
      </c>
      <c r="AI264" s="379">
        <f t="shared" si="199"/>
        <v>0</v>
      </c>
      <c r="AJ264" s="379">
        <f t="shared" si="200"/>
        <v>0</v>
      </c>
      <c r="AK264" s="379">
        <f t="shared" si="201"/>
        <v>0</v>
      </c>
      <c r="AL264" s="379">
        <f t="shared" si="202"/>
        <v>0</v>
      </c>
      <c r="AM264" s="379">
        <f t="shared" si="203"/>
        <v>0</v>
      </c>
      <c r="AN264" s="490">
        <f t="shared" si="204"/>
        <v>0</v>
      </c>
      <c r="AO264" s="379">
        <f t="shared" si="205"/>
        <v>0</v>
      </c>
      <c r="AP264" s="379">
        <f t="shared" si="206"/>
        <v>0</v>
      </c>
      <c r="AQ264" s="379">
        <f t="shared" si="207"/>
        <v>0</v>
      </c>
      <c r="AR264" s="379">
        <f t="shared" si="208"/>
        <v>0</v>
      </c>
      <c r="AS264" s="379">
        <f t="shared" si="209"/>
        <v>0</v>
      </c>
      <c r="AT264" s="379">
        <f t="shared" si="210"/>
        <v>0</v>
      </c>
      <c r="AU264" s="379">
        <f t="shared" si="211"/>
        <v>0</v>
      </c>
      <c r="AV264" s="379">
        <f t="shared" si="212"/>
        <v>0</v>
      </c>
      <c r="AW264" s="379">
        <f t="shared" si="213"/>
        <v>0</v>
      </c>
      <c r="AX264" s="379">
        <f t="shared" si="214"/>
        <v>0</v>
      </c>
      <c r="AY264" s="379">
        <f t="shared" si="215"/>
        <v>0</v>
      </c>
    </row>
    <row r="265" spans="1:51" x14ac:dyDescent="0.2">
      <c r="A265" s="376">
        <v>13660</v>
      </c>
      <c r="B265" s="378" t="str">
        <f t="shared" si="168"/>
        <v>Gwydir (A)</v>
      </c>
      <c r="C265" s="377" t="str">
        <f t="shared" si="169"/>
        <v>NIRW</v>
      </c>
      <c r="D265" s="503" t="str">
        <f t="shared" si="170"/>
        <v>N</v>
      </c>
      <c r="E265" s="503"/>
      <c r="F265"/>
      <c r="G265" s="379">
        <f t="shared" si="171"/>
        <v>5030</v>
      </c>
      <c r="H265" s="379">
        <f t="shared" si="172"/>
        <v>1708</v>
      </c>
      <c r="I265" s="379">
        <f t="shared" si="173"/>
        <v>422</v>
      </c>
      <c r="J265" s="379" t="str">
        <f t="shared" si="174"/>
        <v>Y</v>
      </c>
      <c r="K265" s="379">
        <f t="shared" si="175"/>
        <v>1330</v>
      </c>
      <c r="L265" s="379">
        <f t="shared" si="176"/>
        <v>0</v>
      </c>
      <c r="M265" s="379">
        <f t="shared" si="177"/>
        <v>1330</v>
      </c>
      <c r="N265" s="379">
        <f t="shared" si="178"/>
        <v>0</v>
      </c>
      <c r="O265" s="379">
        <f t="shared" si="179"/>
        <v>1330</v>
      </c>
      <c r="P265" s="379">
        <f t="shared" si="180"/>
        <v>0</v>
      </c>
      <c r="Q265" s="379" t="str">
        <f t="shared" si="181"/>
        <v>Y</v>
      </c>
      <c r="R265" s="379" t="str">
        <f t="shared" si="182"/>
        <v>Bingara Landfill</v>
      </c>
      <c r="S265" s="379" t="str">
        <f t="shared" si="183"/>
        <v>Warialda Landfill</v>
      </c>
      <c r="T265" s="379" t="str">
        <f t="shared" si="184"/>
        <v>Coolatai Landfill</v>
      </c>
      <c r="U265" s="379" t="str">
        <f t="shared" si="185"/>
        <v>Croppa Creek Landfill</v>
      </c>
      <c r="V265" s="379" t="str">
        <f t="shared" si="186"/>
        <v>Gravesend Landfill</v>
      </c>
      <c r="W265" s="379" t="str">
        <f t="shared" si="187"/>
        <v>Upper Horton Landfill</v>
      </c>
      <c r="X265" s="379">
        <f t="shared" si="188"/>
        <v>0</v>
      </c>
      <c r="Y265" s="379">
        <f t="shared" si="189"/>
        <v>0</v>
      </c>
      <c r="Z265" s="379">
        <f t="shared" si="190"/>
        <v>0</v>
      </c>
      <c r="AA265" s="379">
        <f t="shared" si="191"/>
        <v>0</v>
      </c>
      <c r="AB265" s="379">
        <f t="shared" si="192"/>
        <v>0</v>
      </c>
      <c r="AC265" s="379">
        <f t="shared" si="193"/>
        <v>0</v>
      </c>
      <c r="AD265" s="379">
        <f t="shared" si="194"/>
        <v>0</v>
      </c>
      <c r="AE265" s="379">
        <f t="shared" si="195"/>
        <v>0</v>
      </c>
      <c r="AF265" s="379">
        <f t="shared" si="196"/>
        <v>0</v>
      </c>
      <c r="AG265" s="379">
        <f t="shared" si="197"/>
        <v>0</v>
      </c>
      <c r="AH265" s="379">
        <f t="shared" si="198"/>
        <v>0</v>
      </c>
      <c r="AI265" s="379">
        <f t="shared" si="199"/>
        <v>0</v>
      </c>
      <c r="AJ265" s="379">
        <f t="shared" si="200"/>
        <v>0</v>
      </c>
      <c r="AK265" s="379">
        <f t="shared" si="201"/>
        <v>0</v>
      </c>
      <c r="AL265" s="379">
        <f t="shared" si="202"/>
        <v>0</v>
      </c>
      <c r="AM265" s="379">
        <f t="shared" si="203"/>
        <v>0</v>
      </c>
      <c r="AN265" s="490">
        <f t="shared" si="204"/>
        <v>0</v>
      </c>
      <c r="AO265" s="379">
        <f t="shared" si="205"/>
        <v>0</v>
      </c>
      <c r="AP265" s="379">
        <f t="shared" si="206"/>
        <v>0</v>
      </c>
      <c r="AQ265" s="379">
        <f t="shared" si="207"/>
        <v>0</v>
      </c>
      <c r="AR265" s="379">
        <f t="shared" si="208"/>
        <v>0</v>
      </c>
      <c r="AS265" s="379">
        <f t="shared" si="209"/>
        <v>0</v>
      </c>
      <c r="AT265" s="379">
        <f t="shared" si="210"/>
        <v>0</v>
      </c>
      <c r="AU265" s="379">
        <f t="shared" si="211"/>
        <v>0</v>
      </c>
      <c r="AV265" s="379">
        <f t="shared" si="212"/>
        <v>0</v>
      </c>
      <c r="AW265" s="379">
        <f t="shared" si="213"/>
        <v>0</v>
      </c>
      <c r="AX265" s="379">
        <f t="shared" si="214"/>
        <v>0</v>
      </c>
      <c r="AY265" s="379">
        <f t="shared" si="215"/>
        <v>0</v>
      </c>
    </row>
    <row r="266" spans="1:51" x14ac:dyDescent="0.2">
      <c r="A266" s="376">
        <v>13850</v>
      </c>
      <c r="B266" s="378" t="str">
        <f t="shared" si="168"/>
        <v>Hay (A)</v>
      </c>
      <c r="C266" s="377" t="str">
        <f t="shared" si="169"/>
        <v>RAMROC Riverina</v>
      </c>
      <c r="D266" s="503" t="str">
        <f t="shared" si="170"/>
        <v>N</v>
      </c>
      <c r="E266" s="503"/>
      <c r="F266"/>
      <c r="G266" s="379">
        <f t="shared" si="171"/>
        <v>2956</v>
      </c>
      <c r="H266" s="379">
        <f t="shared" si="172"/>
        <v>1179</v>
      </c>
      <c r="I266" s="379">
        <f t="shared" si="173"/>
        <v>262</v>
      </c>
      <c r="J266" s="379" t="str">
        <f t="shared" si="174"/>
        <v>Y</v>
      </c>
      <c r="K266" s="379">
        <f t="shared" si="175"/>
        <v>1420</v>
      </c>
      <c r="L266" s="379">
        <f t="shared" si="176"/>
        <v>0</v>
      </c>
      <c r="M266" s="379">
        <f t="shared" si="177"/>
        <v>0</v>
      </c>
      <c r="N266" s="379">
        <f t="shared" si="178"/>
        <v>0</v>
      </c>
      <c r="O266" s="379">
        <f t="shared" si="179"/>
        <v>0</v>
      </c>
      <c r="P266" s="379">
        <f t="shared" si="180"/>
        <v>0</v>
      </c>
      <c r="Q266" s="379" t="str">
        <f t="shared" si="181"/>
        <v>Y</v>
      </c>
      <c r="R266" s="379" t="str">
        <f t="shared" si="182"/>
        <v>Hay Shire CRC</v>
      </c>
      <c r="S266" s="379">
        <f t="shared" si="183"/>
        <v>0</v>
      </c>
      <c r="T266" s="379">
        <f t="shared" si="184"/>
        <v>0</v>
      </c>
      <c r="U266" s="379">
        <f t="shared" si="185"/>
        <v>0</v>
      </c>
      <c r="V266" s="379">
        <f t="shared" si="186"/>
        <v>0</v>
      </c>
      <c r="W266" s="379">
        <f t="shared" si="187"/>
        <v>0</v>
      </c>
      <c r="X266" s="379">
        <f t="shared" si="188"/>
        <v>0</v>
      </c>
      <c r="Y266" s="379">
        <f t="shared" si="189"/>
        <v>0</v>
      </c>
      <c r="Z266" s="379">
        <f t="shared" si="190"/>
        <v>0</v>
      </c>
      <c r="AA266" s="379">
        <f t="shared" si="191"/>
        <v>0</v>
      </c>
      <c r="AB266" s="379">
        <f t="shared" si="192"/>
        <v>0</v>
      </c>
      <c r="AC266" s="379">
        <f t="shared" si="193"/>
        <v>0</v>
      </c>
      <c r="AD266" s="379">
        <f t="shared" si="194"/>
        <v>0</v>
      </c>
      <c r="AE266" s="379">
        <f t="shared" si="195"/>
        <v>0</v>
      </c>
      <c r="AF266" s="379">
        <f t="shared" si="196"/>
        <v>0</v>
      </c>
      <c r="AG266" s="379">
        <f t="shared" si="197"/>
        <v>0</v>
      </c>
      <c r="AH266" s="379">
        <f t="shared" si="198"/>
        <v>0</v>
      </c>
      <c r="AI266" s="379">
        <f t="shared" si="199"/>
        <v>0</v>
      </c>
      <c r="AJ266" s="379">
        <f t="shared" si="200"/>
        <v>0</v>
      </c>
      <c r="AK266" s="379">
        <f t="shared" si="201"/>
        <v>0</v>
      </c>
      <c r="AL266" s="379">
        <f t="shared" si="202"/>
        <v>0</v>
      </c>
      <c r="AM266" s="379">
        <f t="shared" si="203"/>
        <v>0</v>
      </c>
      <c r="AN266" s="490">
        <f t="shared" si="204"/>
        <v>0</v>
      </c>
      <c r="AO266" s="379">
        <f t="shared" si="205"/>
        <v>0</v>
      </c>
      <c r="AP266" s="379">
        <f t="shared" si="206"/>
        <v>0</v>
      </c>
      <c r="AQ266" s="379">
        <f t="shared" si="207"/>
        <v>0</v>
      </c>
      <c r="AR266" s="379">
        <f t="shared" si="208"/>
        <v>0</v>
      </c>
      <c r="AS266" s="379">
        <f t="shared" si="209"/>
        <v>0</v>
      </c>
      <c r="AT266" s="379">
        <f t="shared" si="210"/>
        <v>0</v>
      </c>
      <c r="AU266" s="379">
        <f t="shared" si="211"/>
        <v>0</v>
      </c>
      <c r="AV266" s="379">
        <f t="shared" si="212"/>
        <v>0</v>
      </c>
      <c r="AW266" s="379">
        <f t="shared" si="213"/>
        <v>0</v>
      </c>
      <c r="AX266" s="379">
        <f t="shared" si="214"/>
        <v>0</v>
      </c>
      <c r="AY266" s="379">
        <f t="shared" si="215"/>
        <v>0</v>
      </c>
    </row>
    <row r="267" spans="1:51" x14ac:dyDescent="0.2">
      <c r="A267" s="376">
        <v>13910</v>
      </c>
      <c r="B267" s="378" t="str">
        <f t="shared" ref="B267:B301" si="216">VLOOKUP($A267,$A$5:$L$133,2,FALSE)</f>
        <v>Hilltops (A)</v>
      </c>
      <c r="C267" s="377" t="str">
        <f t="shared" ref="C267:C301" si="217">VLOOKUP($A267,$A$5:$L$133,3,FALSE)</f>
        <v>CBRJO</v>
      </c>
      <c r="D267" s="503" t="str">
        <f t="shared" ref="D267:D301" si="218">VLOOKUP($A267,$A$5:$L$133,4,FALSE)</f>
        <v>N</v>
      </c>
      <c r="E267" s="503"/>
      <c r="F267"/>
      <c r="G267" s="379">
        <f t="shared" ref="G267:G301" si="219">VLOOKUP($A267,$A$5:$AY$132,7,FALSE)</f>
        <v>18993</v>
      </c>
      <c r="H267" s="379">
        <f t="shared" ref="H267:H301" si="220">VLOOKUP($A267,$A$5:$AY$132,8,FALSE)</f>
        <v>11024</v>
      </c>
      <c r="I267" s="379">
        <f t="shared" ref="I267:I301" si="221">VLOOKUP($A267,$A$5:$AY$132,9,FALSE)</f>
        <v>382.5</v>
      </c>
      <c r="J267" s="379" t="str">
        <f t="shared" ref="J267:J301" si="222">VLOOKUP($A267,$A$5:$AY$132,10,FALSE)</f>
        <v>Y</v>
      </c>
      <c r="K267" s="379">
        <f t="shared" ref="K267:K301" si="223">VLOOKUP($A267,$A$5:$AY$132,11,FALSE)</f>
        <v>5343</v>
      </c>
      <c r="L267" s="379">
        <f t="shared" ref="L267:L301" si="224">VLOOKUP($A267,$A$5:$AY$132,12,FALSE)</f>
        <v>0</v>
      </c>
      <c r="M267" s="379">
        <f t="shared" ref="M267:M301" si="225">VLOOKUP($A267,$A$4:$AY$132,13,FALSE)</f>
        <v>5273</v>
      </c>
      <c r="N267" s="379">
        <f t="shared" ref="N267:N301" si="226">VLOOKUP($A267,$A$4:$AY$132,14,FALSE)</f>
        <v>3577</v>
      </c>
      <c r="O267" s="379">
        <f t="shared" ref="O267:O301" si="227">VLOOKUP($A267,$A$4:$AY$132,15,FALSE)</f>
        <v>987</v>
      </c>
      <c r="P267" s="379">
        <f t="shared" ref="P267:P301" si="228">VLOOKUP($A267,$A$4:$AY$132,16,FALSE)</f>
        <v>0</v>
      </c>
      <c r="Q267" s="379" t="str">
        <f t="shared" ref="Q267:Q301" si="229">VLOOKUP($A267,$A$4:$AY$132,17,FALSE)</f>
        <v>Y</v>
      </c>
      <c r="R267" s="379" t="str">
        <f t="shared" ref="R267:R301" si="230">VLOOKUP($A267,$A$4:$AY$132,18,FALSE)</f>
        <v>Victoria Street</v>
      </c>
      <c r="S267" s="379" t="str">
        <f t="shared" ref="S267:S301" si="231">VLOOKUP($A267,$A$4:$AY$132,19,FALSE)</f>
        <v>Redhill Road</v>
      </c>
      <c r="T267" s="379" t="str">
        <f t="shared" ref="T267:T301" si="232">VLOOKUP($A267,$A$4:$AY$132,20,FALSE)</f>
        <v>Boorowa Landfill</v>
      </c>
      <c r="U267" s="379" t="str">
        <f t="shared" ref="U267:U301" si="233">VLOOKUP($A267,$A$4:$AY$132,21,FALSE)</f>
        <v>Harden WTS</v>
      </c>
      <c r="V267" s="379" t="str">
        <f t="shared" ref="V267:V301" si="234">VLOOKUP($A267,$A$4:$AY$132,22,FALSE)</f>
        <v>Koorawatha</v>
      </c>
      <c r="W267" s="379" t="str">
        <f t="shared" ref="W267:W301" si="235">VLOOKUP($A267,$A$4:$AY$132,23,FALSE)</f>
        <v>Other Facilities</v>
      </c>
      <c r="X267" s="379">
        <f t="shared" ref="X267:X301" si="236">VLOOKUP($A267,$A$4:$AY$132,24,FALSE)</f>
        <v>0</v>
      </c>
      <c r="Y267" s="379">
        <f t="shared" ref="Y267:Y301" si="237">VLOOKUP($A267,$A$4:$AY$132,25,FALSE)</f>
        <v>0</v>
      </c>
      <c r="Z267" s="379">
        <f t="shared" ref="Z267:Z301" si="238">VLOOKUP($A267,$A$4:$AY$132,26,FALSE)</f>
        <v>0</v>
      </c>
      <c r="AA267" s="379">
        <f t="shared" ref="AA267:AA301" si="239">VLOOKUP($A267,$A$4:$AY$132,27,FALSE)</f>
        <v>0</v>
      </c>
      <c r="AB267" s="379">
        <f t="shared" ref="AB267:AB301" si="240">VLOOKUP($A267,$A$4:$AY$132,28,FALSE)</f>
        <v>0</v>
      </c>
      <c r="AC267" s="379">
        <f t="shared" ref="AC267:AC301" si="241">VLOOKUP($A267,$A$4:$AY$132,29,FALSE)</f>
        <v>0</v>
      </c>
      <c r="AD267" s="379">
        <f t="shared" ref="AD267:AD301" si="242">VLOOKUP($A267,$A$4:$AY$132,30,FALSE)</f>
        <v>0</v>
      </c>
      <c r="AE267" s="379">
        <f t="shared" ref="AE267:AE301" si="243">VLOOKUP($A267,$A$4:$AY$132,31,FALSE)</f>
        <v>0</v>
      </c>
      <c r="AF267" s="379">
        <f t="shared" ref="AF267:AF301" si="244">VLOOKUP($A267,$A$4:$AY$132,32,FALSE)</f>
        <v>0</v>
      </c>
      <c r="AG267" s="379">
        <f t="shared" ref="AG267:AG301" si="245">VLOOKUP($A267,$A$4:$AY$132,33,FALSE)</f>
        <v>0</v>
      </c>
      <c r="AH267" s="379">
        <f t="shared" ref="AH267:AH301" si="246">VLOOKUP($A267,$A$4:$AY$132,34,FALSE)</f>
        <v>0</v>
      </c>
      <c r="AI267" s="379">
        <f t="shared" ref="AI267:AI301" si="247">VLOOKUP($A267,$A$4:$AY$132,35,FALSE)</f>
        <v>0</v>
      </c>
      <c r="AJ267" s="379">
        <f t="shared" ref="AJ267:AJ301" si="248">VLOOKUP($A267,$A$4:$AY$132,36,FALSE)</f>
        <v>0</v>
      </c>
      <c r="AK267" s="379">
        <f t="shared" ref="AK267:AK301" si="249">VLOOKUP($A267,$A$4:$AY$132,37,FALSE)</f>
        <v>0</v>
      </c>
      <c r="AL267" s="379">
        <f t="shared" ref="AL267:AL301" si="250">VLOOKUP($A267,$A$4:$AY$132,38,FALSE)</f>
        <v>0</v>
      </c>
      <c r="AM267" s="379">
        <f t="shared" ref="AM267:AM301" si="251">VLOOKUP($A267,$A$4:$AY$132,39,FALSE)</f>
        <v>0</v>
      </c>
      <c r="AN267" s="490">
        <f t="shared" ref="AN267:AN301" si="252">VLOOKUP($A267,$A$4:$AY$132,40,FALSE)</f>
        <v>0</v>
      </c>
      <c r="AO267" s="379">
        <f t="shared" ref="AO267:AO301" si="253">VLOOKUP($A267,$A$4:$AY$132,41,FALSE)</f>
        <v>0</v>
      </c>
      <c r="AP267" s="379">
        <f t="shared" ref="AP267:AP301" si="254">VLOOKUP($A267,$A$4:$AY$132,42,FALSE)</f>
        <v>0</v>
      </c>
      <c r="AQ267" s="379">
        <f t="shared" ref="AQ267:AQ301" si="255">VLOOKUP($A267,$A$4:$AY$132,43,FALSE)</f>
        <v>0</v>
      </c>
      <c r="AR267" s="379">
        <f t="shared" ref="AR267:AR301" si="256">VLOOKUP($A267,$A$4:$AY$132,44,FALSE)</f>
        <v>0</v>
      </c>
      <c r="AS267" s="379">
        <f t="shared" ref="AS267:AS301" si="257">VLOOKUP($A267,$A$4:$AY$132,45,FALSE)</f>
        <v>0</v>
      </c>
      <c r="AT267" s="379">
        <f t="shared" ref="AT267:AT301" si="258">VLOOKUP($A267,$A$4:$AY$132,46,FALSE)</f>
        <v>0</v>
      </c>
      <c r="AU267" s="379">
        <f t="shared" ref="AU267:AU301" si="259">VLOOKUP($A267,$A$4:$AY$132,47,FALSE)</f>
        <v>0</v>
      </c>
      <c r="AV267" s="379">
        <f t="shared" ref="AV267:AV301" si="260">VLOOKUP($A267,$A$4:$AY$132,48,FALSE)</f>
        <v>0</v>
      </c>
      <c r="AW267" s="379">
        <f t="shared" ref="AW267:AW301" si="261">VLOOKUP($A267,$A$4:$AY$132,49,FALSE)</f>
        <v>0</v>
      </c>
      <c r="AX267" s="379">
        <f t="shared" ref="AX267:AX301" si="262">VLOOKUP($A267,$A$4:$AY$132,50,FALSE)</f>
        <v>0</v>
      </c>
      <c r="AY267" s="379">
        <f t="shared" ref="AY267:AY301" si="263">VLOOKUP($A267,$A$4:$AY$132,51,FALSE)</f>
        <v>0</v>
      </c>
    </row>
    <row r="268" spans="1:51" x14ac:dyDescent="0.2">
      <c r="A268" s="376">
        <v>14200</v>
      </c>
      <c r="B268" s="378" t="str">
        <f t="shared" si="216"/>
        <v>Inverell (A)</v>
      </c>
      <c r="C268" s="377" t="str">
        <f t="shared" si="217"/>
        <v>NIRW</v>
      </c>
      <c r="D268" s="503" t="str">
        <f t="shared" si="218"/>
        <v>N</v>
      </c>
      <c r="E268" s="503"/>
      <c r="F268"/>
      <c r="G268" s="379">
        <f t="shared" si="219"/>
        <v>17042</v>
      </c>
      <c r="H268" s="379">
        <f t="shared" si="220"/>
        <v>6764</v>
      </c>
      <c r="I268" s="379">
        <f t="shared" si="221"/>
        <v>300</v>
      </c>
      <c r="J268" s="379" t="str">
        <f t="shared" si="222"/>
        <v>Y</v>
      </c>
      <c r="K268" s="379">
        <f t="shared" si="223"/>
        <v>6624</v>
      </c>
      <c r="L268" s="379">
        <f t="shared" si="224"/>
        <v>0</v>
      </c>
      <c r="M268" s="379">
        <f t="shared" si="225"/>
        <v>4666</v>
      </c>
      <c r="N268" s="379">
        <f t="shared" si="226"/>
        <v>0</v>
      </c>
      <c r="O268" s="379">
        <f t="shared" si="227"/>
        <v>0</v>
      </c>
      <c r="P268" s="379">
        <f t="shared" si="228"/>
        <v>0</v>
      </c>
      <c r="Q268" s="379" t="str">
        <f t="shared" si="229"/>
        <v>Y</v>
      </c>
      <c r="R268" s="379" t="str">
        <f t="shared" si="230"/>
        <v>Ashford</v>
      </c>
      <c r="S268" s="379" t="str">
        <f t="shared" si="231"/>
        <v>Bonshaw</v>
      </c>
      <c r="T268" s="379" t="str">
        <f t="shared" si="232"/>
        <v>Yetman</v>
      </c>
      <c r="U268" s="379" t="str">
        <f t="shared" si="233"/>
        <v>Delungra</v>
      </c>
      <c r="V268" s="379">
        <f t="shared" si="234"/>
        <v>0</v>
      </c>
      <c r="W268" s="379">
        <f t="shared" si="235"/>
        <v>0</v>
      </c>
      <c r="X268" s="379">
        <f t="shared" si="236"/>
        <v>0</v>
      </c>
      <c r="Y268" s="379">
        <f t="shared" si="237"/>
        <v>0</v>
      </c>
      <c r="Z268" s="379">
        <f t="shared" si="238"/>
        <v>0</v>
      </c>
      <c r="AA268" s="379">
        <f t="shared" si="239"/>
        <v>0</v>
      </c>
      <c r="AB268" s="379">
        <f t="shared" si="240"/>
        <v>0</v>
      </c>
      <c r="AC268" s="379">
        <f t="shared" si="241"/>
        <v>0</v>
      </c>
      <c r="AD268" s="379">
        <f t="shared" si="242"/>
        <v>0</v>
      </c>
      <c r="AE268" s="379">
        <f t="shared" si="243"/>
        <v>0</v>
      </c>
      <c r="AF268" s="379">
        <f t="shared" si="244"/>
        <v>0</v>
      </c>
      <c r="AG268" s="379">
        <f t="shared" si="245"/>
        <v>0</v>
      </c>
      <c r="AH268" s="379">
        <f t="shared" si="246"/>
        <v>0</v>
      </c>
      <c r="AI268" s="379">
        <f t="shared" si="247"/>
        <v>0</v>
      </c>
      <c r="AJ268" s="379">
        <f t="shared" si="248"/>
        <v>0</v>
      </c>
      <c r="AK268" s="379">
        <f t="shared" si="249"/>
        <v>0</v>
      </c>
      <c r="AL268" s="379">
        <f t="shared" si="250"/>
        <v>0</v>
      </c>
      <c r="AM268" s="379">
        <f t="shared" si="251"/>
        <v>0</v>
      </c>
      <c r="AN268" s="490">
        <f t="shared" si="252"/>
        <v>0</v>
      </c>
      <c r="AO268" s="379">
        <f t="shared" si="253"/>
        <v>0</v>
      </c>
      <c r="AP268" s="379">
        <f t="shared" si="254"/>
        <v>0</v>
      </c>
      <c r="AQ268" s="379">
        <f t="shared" si="255"/>
        <v>0</v>
      </c>
      <c r="AR268" s="379">
        <f t="shared" si="256"/>
        <v>0</v>
      </c>
      <c r="AS268" s="379">
        <f t="shared" si="257"/>
        <v>0</v>
      </c>
      <c r="AT268" s="379">
        <f t="shared" si="258"/>
        <v>0</v>
      </c>
      <c r="AU268" s="379">
        <f t="shared" si="259"/>
        <v>0</v>
      </c>
      <c r="AV268" s="379">
        <f t="shared" si="260"/>
        <v>0</v>
      </c>
      <c r="AW268" s="379">
        <f t="shared" si="261"/>
        <v>0</v>
      </c>
      <c r="AX268" s="379">
        <f t="shared" si="262"/>
        <v>0</v>
      </c>
      <c r="AY268" s="379">
        <f t="shared" si="263"/>
        <v>0</v>
      </c>
    </row>
    <row r="269" spans="1:51" x14ac:dyDescent="0.2">
      <c r="A269" s="376">
        <v>14300</v>
      </c>
      <c r="B269" s="378" t="str">
        <f t="shared" si="216"/>
        <v>Junee (A)</v>
      </c>
      <c r="C269" s="377" t="str">
        <f t="shared" si="217"/>
        <v>REROC</v>
      </c>
      <c r="D269" s="503" t="str">
        <f t="shared" si="218"/>
        <v>N</v>
      </c>
      <c r="E269" s="503"/>
      <c r="F269"/>
      <c r="G269" s="379">
        <f t="shared" si="219"/>
        <v>6329</v>
      </c>
      <c r="H269" s="379">
        <f t="shared" si="220"/>
        <v>1914</v>
      </c>
      <c r="I269" s="379">
        <f t="shared" si="221"/>
        <v>277</v>
      </c>
      <c r="J269" s="379" t="str">
        <f t="shared" si="222"/>
        <v>Y</v>
      </c>
      <c r="K269" s="379">
        <f t="shared" si="223"/>
        <v>1740</v>
      </c>
      <c r="L269" s="379">
        <f t="shared" si="224"/>
        <v>0</v>
      </c>
      <c r="M269" s="379">
        <f t="shared" si="225"/>
        <v>1740</v>
      </c>
      <c r="N269" s="379">
        <f t="shared" si="226"/>
        <v>0</v>
      </c>
      <c r="O269" s="379">
        <f t="shared" si="227"/>
        <v>1740</v>
      </c>
      <c r="P269" s="379">
        <f t="shared" si="228"/>
        <v>0</v>
      </c>
      <c r="Q269" s="379" t="str">
        <f t="shared" si="229"/>
        <v>Y</v>
      </c>
      <c r="R269" s="379" t="str">
        <f t="shared" si="230"/>
        <v>Junee Landfill</v>
      </c>
      <c r="S269" s="379" t="str">
        <f t="shared" si="231"/>
        <v>Rural Transfer Stations</v>
      </c>
      <c r="T269" s="379">
        <f t="shared" si="232"/>
        <v>0</v>
      </c>
      <c r="U269" s="379">
        <f t="shared" si="233"/>
        <v>0</v>
      </c>
      <c r="V269" s="379">
        <f t="shared" si="234"/>
        <v>0</v>
      </c>
      <c r="W269" s="379">
        <f t="shared" si="235"/>
        <v>0</v>
      </c>
      <c r="X269" s="379">
        <f t="shared" si="236"/>
        <v>0</v>
      </c>
      <c r="Y269" s="379">
        <f t="shared" si="237"/>
        <v>0</v>
      </c>
      <c r="Z269" s="379">
        <f t="shared" si="238"/>
        <v>0</v>
      </c>
      <c r="AA269" s="379">
        <f t="shared" si="239"/>
        <v>0</v>
      </c>
      <c r="AB269" s="379">
        <f t="shared" si="240"/>
        <v>0</v>
      </c>
      <c r="AC269" s="379">
        <f t="shared" si="241"/>
        <v>0</v>
      </c>
      <c r="AD269" s="379">
        <f t="shared" si="242"/>
        <v>0</v>
      </c>
      <c r="AE269" s="379">
        <f t="shared" si="243"/>
        <v>0</v>
      </c>
      <c r="AF269" s="379">
        <f t="shared" si="244"/>
        <v>0</v>
      </c>
      <c r="AG269" s="379">
        <f t="shared" si="245"/>
        <v>0</v>
      </c>
      <c r="AH269" s="379">
        <f t="shared" si="246"/>
        <v>0</v>
      </c>
      <c r="AI269" s="379">
        <f t="shared" si="247"/>
        <v>0</v>
      </c>
      <c r="AJ269" s="379">
        <f t="shared" si="248"/>
        <v>0</v>
      </c>
      <c r="AK269" s="379">
        <f t="shared" si="249"/>
        <v>0</v>
      </c>
      <c r="AL269" s="379">
        <f t="shared" si="250"/>
        <v>0</v>
      </c>
      <c r="AM269" s="379">
        <f t="shared" si="251"/>
        <v>0</v>
      </c>
      <c r="AN269" s="490">
        <f t="shared" si="252"/>
        <v>0</v>
      </c>
      <c r="AO269" s="379">
        <f t="shared" si="253"/>
        <v>0</v>
      </c>
      <c r="AP269" s="379">
        <f t="shared" si="254"/>
        <v>0</v>
      </c>
      <c r="AQ269" s="379">
        <f t="shared" si="255"/>
        <v>0</v>
      </c>
      <c r="AR269" s="379">
        <f t="shared" si="256"/>
        <v>0</v>
      </c>
      <c r="AS269" s="379">
        <f t="shared" si="257"/>
        <v>0</v>
      </c>
      <c r="AT269" s="379">
        <f t="shared" si="258"/>
        <v>0</v>
      </c>
      <c r="AU269" s="379">
        <f t="shared" si="259"/>
        <v>0</v>
      </c>
      <c r="AV269" s="379">
        <f t="shared" si="260"/>
        <v>0</v>
      </c>
      <c r="AW269" s="379">
        <f t="shared" si="261"/>
        <v>0</v>
      </c>
      <c r="AX269" s="379">
        <f t="shared" si="262"/>
        <v>0</v>
      </c>
      <c r="AY269" s="379">
        <f t="shared" si="263"/>
        <v>0</v>
      </c>
    </row>
    <row r="270" spans="1:51" x14ac:dyDescent="0.2">
      <c r="A270" s="376">
        <v>14600</v>
      </c>
      <c r="B270" s="378" t="str">
        <f t="shared" si="216"/>
        <v>Lachlan (A)</v>
      </c>
      <c r="C270" s="377" t="str">
        <f t="shared" si="217"/>
        <v>NetWaste</v>
      </c>
      <c r="D270" s="503" t="str">
        <f t="shared" si="218"/>
        <v>N</v>
      </c>
      <c r="E270" s="503"/>
      <c r="F270"/>
      <c r="G270" s="379">
        <f t="shared" si="219"/>
        <v>6749</v>
      </c>
      <c r="H270" s="379">
        <f t="shared" si="220"/>
        <v>4164</v>
      </c>
      <c r="I270" s="379">
        <f t="shared" si="221"/>
        <v>326</v>
      </c>
      <c r="J270" s="379" t="str">
        <f t="shared" si="222"/>
        <v>Y</v>
      </c>
      <c r="K270" s="379">
        <f t="shared" si="223"/>
        <v>2647</v>
      </c>
      <c r="L270" s="379">
        <f t="shared" si="224"/>
        <v>0</v>
      </c>
      <c r="M270" s="379">
        <f t="shared" si="225"/>
        <v>2619</v>
      </c>
      <c r="N270" s="379">
        <f t="shared" si="226"/>
        <v>1272</v>
      </c>
      <c r="O270" s="379">
        <f t="shared" si="227"/>
        <v>0</v>
      </c>
      <c r="P270" s="379">
        <f t="shared" si="228"/>
        <v>0</v>
      </c>
      <c r="Q270" s="379" t="str">
        <f t="shared" si="229"/>
        <v>Y</v>
      </c>
      <c r="R270" s="379" t="str">
        <f t="shared" si="230"/>
        <v xml:space="preserve">Condobolin </v>
      </c>
      <c r="S270" s="379" t="str">
        <f t="shared" si="231"/>
        <v xml:space="preserve">Lake Cargelligo </v>
      </c>
      <c r="T270" s="379" t="str">
        <f t="shared" si="232"/>
        <v xml:space="preserve">Burcher </v>
      </c>
      <c r="U270" s="379" t="str">
        <f t="shared" si="233"/>
        <v>Tuliibigeal</v>
      </c>
      <c r="V270" s="379" t="str">
        <f t="shared" si="234"/>
        <v xml:space="preserve">Tottenham </v>
      </c>
      <c r="W270" s="379">
        <f t="shared" si="235"/>
        <v>0</v>
      </c>
      <c r="X270" s="379">
        <f t="shared" si="236"/>
        <v>0</v>
      </c>
      <c r="Y270" s="379">
        <f t="shared" si="237"/>
        <v>0</v>
      </c>
      <c r="Z270" s="379">
        <f t="shared" si="238"/>
        <v>0</v>
      </c>
      <c r="AA270" s="379">
        <f t="shared" si="239"/>
        <v>0</v>
      </c>
      <c r="AB270" s="379">
        <f t="shared" si="240"/>
        <v>0</v>
      </c>
      <c r="AC270" s="379">
        <f t="shared" si="241"/>
        <v>0</v>
      </c>
      <c r="AD270" s="379">
        <f t="shared" si="242"/>
        <v>0</v>
      </c>
      <c r="AE270" s="379">
        <f t="shared" si="243"/>
        <v>0</v>
      </c>
      <c r="AF270" s="379">
        <f t="shared" si="244"/>
        <v>0</v>
      </c>
      <c r="AG270" s="379">
        <f t="shared" si="245"/>
        <v>0</v>
      </c>
      <c r="AH270" s="379">
        <f t="shared" si="246"/>
        <v>0</v>
      </c>
      <c r="AI270" s="379">
        <f t="shared" si="247"/>
        <v>0</v>
      </c>
      <c r="AJ270" s="379">
        <f t="shared" si="248"/>
        <v>0</v>
      </c>
      <c r="AK270" s="379">
        <f t="shared" si="249"/>
        <v>0</v>
      </c>
      <c r="AL270" s="379">
        <f t="shared" si="250"/>
        <v>0</v>
      </c>
      <c r="AM270" s="379">
        <f t="shared" si="251"/>
        <v>0</v>
      </c>
      <c r="AN270" s="490">
        <f t="shared" si="252"/>
        <v>0</v>
      </c>
      <c r="AO270" s="379">
        <f t="shared" si="253"/>
        <v>0</v>
      </c>
      <c r="AP270" s="379">
        <f t="shared" si="254"/>
        <v>0</v>
      </c>
      <c r="AQ270" s="379">
        <f t="shared" si="255"/>
        <v>0</v>
      </c>
      <c r="AR270" s="379">
        <f t="shared" si="256"/>
        <v>0</v>
      </c>
      <c r="AS270" s="379">
        <f t="shared" si="257"/>
        <v>0</v>
      </c>
      <c r="AT270" s="379">
        <f t="shared" si="258"/>
        <v>0</v>
      </c>
      <c r="AU270" s="379">
        <f t="shared" si="259"/>
        <v>0</v>
      </c>
      <c r="AV270" s="379">
        <f t="shared" si="260"/>
        <v>0</v>
      </c>
      <c r="AW270" s="379">
        <f t="shared" si="261"/>
        <v>0</v>
      </c>
      <c r="AX270" s="379">
        <f t="shared" si="262"/>
        <v>0</v>
      </c>
      <c r="AY270" s="379">
        <f t="shared" si="263"/>
        <v>0</v>
      </c>
    </row>
    <row r="271" spans="1:51" x14ac:dyDescent="0.2">
      <c r="A271" s="376">
        <v>14750</v>
      </c>
      <c r="B271" s="378" t="str">
        <f t="shared" si="216"/>
        <v>Leeton (A)</v>
      </c>
      <c r="C271" s="377" t="str">
        <f t="shared" si="217"/>
        <v>RAMROC Riverina</v>
      </c>
      <c r="D271" s="503" t="str">
        <f t="shared" si="218"/>
        <v>N</v>
      </c>
      <c r="E271" s="503"/>
      <c r="F271"/>
      <c r="G271" s="379">
        <f t="shared" si="219"/>
        <v>11712</v>
      </c>
      <c r="H271" s="379">
        <f t="shared" si="220"/>
        <v>3811</v>
      </c>
      <c r="I271" s="379">
        <f t="shared" si="221"/>
        <v>249</v>
      </c>
      <c r="J271" s="379" t="str">
        <f t="shared" si="222"/>
        <v>Y</v>
      </c>
      <c r="K271" s="379">
        <f t="shared" si="223"/>
        <v>4136</v>
      </c>
      <c r="L271" s="379">
        <f t="shared" si="224"/>
        <v>0</v>
      </c>
      <c r="M271" s="379">
        <f t="shared" si="225"/>
        <v>4039</v>
      </c>
      <c r="N271" s="379">
        <f t="shared" si="226"/>
        <v>0</v>
      </c>
      <c r="O271" s="379">
        <f t="shared" si="227"/>
        <v>0</v>
      </c>
      <c r="P271" s="379" t="str">
        <f t="shared" si="228"/>
        <v>Y</v>
      </c>
      <c r="Q271" s="379" t="str">
        <f t="shared" si="229"/>
        <v>Y</v>
      </c>
      <c r="R271" s="379" t="str">
        <f t="shared" si="230"/>
        <v>Leeton Resource Recovery Centre</v>
      </c>
      <c r="S271" s="379">
        <f t="shared" si="231"/>
        <v>0</v>
      </c>
      <c r="T271" s="379">
        <f t="shared" si="232"/>
        <v>0</v>
      </c>
      <c r="U271" s="379">
        <f t="shared" si="233"/>
        <v>0</v>
      </c>
      <c r="V271" s="379">
        <f t="shared" si="234"/>
        <v>0</v>
      </c>
      <c r="W271" s="379">
        <f t="shared" si="235"/>
        <v>0</v>
      </c>
      <c r="X271" s="379">
        <f t="shared" si="236"/>
        <v>0</v>
      </c>
      <c r="Y271" s="379">
        <f t="shared" si="237"/>
        <v>0</v>
      </c>
      <c r="Z271" s="379">
        <f t="shared" si="238"/>
        <v>0</v>
      </c>
      <c r="AA271" s="379">
        <f t="shared" si="239"/>
        <v>0</v>
      </c>
      <c r="AB271" s="379">
        <f t="shared" si="240"/>
        <v>0</v>
      </c>
      <c r="AC271" s="379">
        <f t="shared" si="241"/>
        <v>0</v>
      </c>
      <c r="AD271" s="379">
        <f t="shared" si="242"/>
        <v>0</v>
      </c>
      <c r="AE271" s="379">
        <f t="shared" si="243"/>
        <v>0</v>
      </c>
      <c r="AF271" s="379">
        <f t="shared" si="244"/>
        <v>0</v>
      </c>
      <c r="AG271" s="379">
        <f t="shared" si="245"/>
        <v>0</v>
      </c>
      <c r="AH271" s="379">
        <f t="shared" si="246"/>
        <v>0</v>
      </c>
      <c r="AI271" s="379">
        <f t="shared" si="247"/>
        <v>0</v>
      </c>
      <c r="AJ271" s="379">
        <f t="shared" si="248"/>
        <v>0</v>
      </c>
      <c r="AK271" s="379">
        <f t="shared" si="249"/>
        <v>0</v>
      </c>
      <c r="AL271" s="379">
        <f t="shared" si="250"/>
        <v>0</v>
      </c>
      <c r="AM271" s="379">
        <f t="shared" si="251"/>
        <v>0</v>
      </c>
      <c r="AN271" s="490">
        <f t="shared" si="252"/>
        <v>0</v>
      </c>
      <c r="AO271" s="379">
        <f t="shared" si="253"/>
        <v>0</v>
      </c>
      <c r="AP271" s="379">
        <f t="shared" si="254"/>
        <v>0</v>
      </c>
      <c r="AQ271" s="379">
        <f t="shared" si="255"/>
        <v>0</v>
      </c>
      <c r="AR271" s="379">
        <f t="shared" si="256"/>
        <v>0</v>
      </c>
      <c r="AS271" s="379">
        <f t="shared" si="257"/>
        <v>0</v>
      </c>
      <c r="AT271" s="379">
        <f t="shared" si="258"/>
        <v>0</v>
      </c>
      <c r="AU271" s="379">
        <f t="shared" si="259"/>
        <v>0</v>
      </c>
      <c r="AV271" s="379">
        <f t="shared" si="260"/>
        <v>0</v>
      </c>
      <c r="AW271" s="379">
        <f t="shared" si="261"/>
        <v>0</v>
      </c>
      <c r="AX271" s="379">
        <f t="shared" si="262"/>
        <v>0</v>
      </c>
      <c r="AY271" s="379">
        <f t="shared" si="263"/>
        <v>0</v>
      </c>
    </row>
    <row r="272" spans="1:51" x14ac:dyDescent="0.2">
      <c r="A272" s="376">
        <v>14870</v>
      </c>
      <c r="B272" s="378" t="str">
        <f t="shared" si="216"/>
        <v>Lithgow (C)</v>
      </c>
      <c r="C272" s="377" t="str">
        <f t="shared" si="217"/>
        <v>NetWaste</v>
      </c>
      <c r="D272" s="503" t="str">
        <f t="shared" si="218"/>
        <v>N</v>
      </c>
      <c r="E272" s="503"/>
      <c r="F272"/>
      <c r="G272" s="379">
        <f t="shared" si="219"/>
        <v>21474</v>
      </c>
      <c r="H272" s="379">
        <f t="shared" si="220"/>
        <v>11338</v>
      </c>
      <c r="I272" s="379">
        <f t="shared" si="221"/>
        <v>383.73</v>
      </c>
      <c r="J272" s="379" t="str">
        <f t="shared" si="222"/>
        <v>Y</v>
      </c>
      <c r="K272" s="379">
        <f t="shared" si="223"/>
        <v>9155</v>
      </c>
      <c r="L272" s="379">
        <f t="shared" si="224"/>
        <v>0</v>
      </c>
      <c r="M272" s="379">
        <f t="shared" si="225"/>
        <v>9150</v>
      </c>
      <c r="N272" s="379">
        <f t="shared" si="226"/>
        <v>0</v>
      </c>
      <c r="O272" s="379">
        <f t="shared" si="227"/>
        <v>0</v>
      </c>
      <c r="P272" s="379" t="str">
        <f t="shared" si="228"/>
        <v>Y</v>
      </c>
      <c r="Q272" s="379" t="str">
        <f t="shared" si="229"/>
        <v>Y</v>
      </c>
      <c r="R272" s="379" t="str">
        <f t="shared" si="230"/>
        <v>Lithgow SWF</v>
      </c>
      <c r="S272" s="379" t="str">
        <f t="shared" si="231"/>
        <v>Portland Garbage Depot</v>
      </c>
      <c r="T272" s="379" t="str">
        <f t="shared" si="232"/>
        <v>Wallerawang Garbage Depot</v>
      </c>
      <c r="U272" s="379" t="str">
        <f t="shared" si="233"/>
        <v>Cullen Bullen Garbage Depot</v>
      </c>
      <c r="V272" s="379" t="str">
        <f t="shared" si="234"/>
        <v>Capertee Garbage Depot</v>
      </c>
      <c r="W272" s="379" t="str">
        <f t="shared" si="235"/>
        <v>Glen Davis Garbage Depot</v>
      </c>
      <c r="X272" s="379">
        <f t="shared" si="236"/>
        <v>0</v>
      </c>
      <c r="Y272" s="379">
        <f t="shared" si="237"/>
        <v>0</v>
      </c>
      <c r="Z272" s="379">
        <f t="shared" si="238"/>
        <v>0</v>
      </c>
      <c r="AA272" s="379">
        <f t="shared" si="239"/>
        <v>0</v>
      </c>
      <c r="AB272" s="379">
        <f t="shared" si="240"/>
        <v>0</v>
      </c>
      <c r="AC272" s="379">
        <f t="shared" si="241"/>
        <v>0</v>
      </c>
      <c r="AD272" s="379">
        <f t="shared" si="242"/>
        <v>0</v>
      </c>
      <c r="AE272" s="379">
        <f t="shared" si="243"/>
        <v>0</v>
      </c>
      <c r="AF272" s="379">
        <f t="shared" si="244"/>
        <v>0</v>
      </c>
      <c r="AG272" s="379">
        <f t="shared" si="245"/>
        <v>0</v>
      </c>
      <c r="AH272" s="379">
        <f t="shared" si="246"/>
        <v>0</v>
      </c>
      <c r="AI272" s="379">
        <f t="shared" si="247"/>
        <v>0</v>
      </c>
      <c r="AJ272" s="379">
        <f t="shared" si="248"/>
        <v>0</v>
      </c>
      <c r="AK272" s="379">
        <f t="shared" si="249"/>
        <v>0</v>
      </c>
      <c r="AL272" s="379">
        <f t="shared" si="250"/>
        <v>0</v>
      </c>
      <c r="AM272" s="379">
        <f t="shared" si="251"/>
        <v>0</v>
      </c>
      <c r="AN272" s="490">
        <f t="shared" si="252"/>
        <v>0</v>
      </c>
      <c r="AO272" s="379">
        <f t="shared" si="253"/>
        <v>0</v>
      </c>
      <c r="AP272" s="379">
        <f t="shared" si="254"/>
        <v>0</v>
      </c>
      <c r="AQ272" s="379">
        <f t="shared" si="255"/>
        <v>0</v>
      </c>
      <c r="AR272" s="379">
        <f t="shared" si="256"/>
        <v>0</v>
      </c>
      <c r="AS272" s="379">
        <f t="shared" si="257"/>
        <v>0</v>
      </c>
      <c r="AT272" s="379">
        <f t="shared" si="258"/>
        <v>0</v>
      </c>
      <c r="AU272" s="379">
        <f t="shared" si="259"/>
        <v>0</v>
      </c>
      <c r="AV272" s="379">
        <f t="shared" si="260"/>
        <v>0</v>
      </c>
      <c r="AW272" s="379">
        <f t="shared" si="261"/>
        <v>0</v>
      </c>
      <c r="AX272" s="379">
        <f t="shared" si="262"/>
        <v>0</v>
      </c>
      <c r="AY272" s="379">
        <f t="shared" si="263"/>
        <v>0</v>
      </c>
    </row>
    <row r="273" spans="1:51" x14ac:dyDescent="0.2">
      <c r="A273" s="376">
        <v>14920</v>
      </c>
      <c r="B273" s="378" t="str">
        <f t="shared" si="216"/>
        <v>Liverpool Plains (A)</v>
      </c>
      <c r="C273" s="377" t="str">
        <f t="shared" si="217"/>
        <v>NIRW</v>
      </c>
      <c r="D273" s="503" t="str">
        <f t="shared" si="218"/>
        <v>N</v>
      </c>
      <c r="E273" s="503"/>
      <c r="F273"/>
      <c r="G273" s="379">
        <f t="shared" si="219"/>
        <v>7738</v>
      </c>
      <c r="H273" s="379">
        <f t="shared" si="220"/>
        <v>2900</v>
      </c>
      <c r="I273" s="379">
        <f t="shared" si="221"/>
        <v>355</v>
      </c>
      <c r="J273" s="379" t="str">
        <f t="shared" si="222"/>
        <v>Y</v>
      </c>
      <c r="K273" s="379">
        <f t="shared" si="223"/>
        <v>2820</v>
      </c>
      <c r="L273" s="379">
        <f t="shared" si="224"/>
        <v>0</v>
      </c>
      <c r="M273" s="379">
        <f t="shared" si="225"/>
        <v>2776</v>
      </c>
      <c r="N273" s="379">
        <f t="shared" si="226"/>
        <v>0</v>
      </c>
      <c r="O273" s="379">
        <f t="shared" si="227"/>
        <v>0</v>
      </c>
      <c r="P273" s="379" t="str">
        <f t="shared" si="228"/>
        <v>Y</v>
      </c>
      <c r="Q273" s="379">
        <f t="shared" si="229"/>
        <v>0</v>
      </c>
      <c r="R273" s="379">
        <f t="shared" si="230"/>
        <v>0</v>
      </c>
      <c r="S273" s="379">
        <f t="shared" si="231"/>
        <v>0</v>
      </c>
      <c r="T273" s="379">
        <f t="shared" si="232"/>
        <v>0</v>
      </c>
      <c r="U273" s="379">
        <f t="shared" si="233"/>
        <v>0</v>
      </c>
      <c r="V273" s="379">
        <f t="shared" si="234"/>
        <v>0</v>
      </c>
      <c r="W273" s="379">
        <f t="shared" si="235"/>
        <v>0</v>
      </c>
      <c r="X273" s="379">
        <f t="shared" si="236"/>
        <v>0</v>
      </c>
      <c r="Y273" s="379">
        <f t="shared" si="237"/>
        <v>0</v>
      </c>
      <c r="Z273" s="379">
        <f t="shared" si="238"/>
        <v>0</v>
      </c>
      <c r="AA273" s="379">
        <f t="shared" si="239"/>
        <v>0</v>
      </c>
      <c r="AB273" s="379">
        <f t="shared" si="240"/>
        <v>0</v>
      </c>
      <c r="AC273" s="379">
        <f t="shared" si="241"/>
        <v>0</v>
      </c>
      <c r="AD273" s="379">
        <f t="shared" si="242"/>
        <v>0</v>
      </c>
      <c r="AE273" s="379">
        <f t="shared" si="243"/>
        <v>0</v>
      </c>
      <c r="AF273" s="379">
        <f t="shared" si="244"/>
        <v>0</v>
      </c>
      <c r="AG273" s="379">
        <f t="shared" si="245"/>
        <v>0</v>
      </c>
      <c r="AH273" s="379">
        <f t="shared" si="246"/>
        <v>0</v>
      </c>
      <c r="AI273" s="379">
        <f t="shared" si="247"/>
        <v>0</v>
      </c>
      <c r="AJ273" s="379">
        <f t="shared" si="248"/>
        <v>0</v>
      </c>
      <c r="AK273" s="379">
        <f t="shared" si="249"/>
        <v>0</v>
      </c>
      <c r="AL273" s="379">
        <f t="shared" si="250"/>
        <v>0</v>
      </c>
      <c r="AM273" s="379">
        <f t="shared" si="251"/>
        <v>0</v>
      </c>
      <c r="AN273" s="490">
        <f t="shared" si="252"/>
        <v>0</v>
      </c>
      <c r="AO273" s="379">
        <f t="shared" si="253"/>
        <v>0</v>
      </c>
      <c r="AP273" s="379">
        <f t="shared" si="254"/>
        <v>0</v>
      </c>
      <c r="AQ273" s="379">
        <f t="shared" si="255"/>
        <v>0</v>
      </c>
      <c r="AR273" s="379">
        <f t="shared" si="256"/>
        <v>0</v>
      </c>
      <c r="AS273" s="379">
        <f t="shared" si="257"/>
        <v>0</v>
      </c>
      <c r="AT273" s="379">
        <f t="shared" si="258"/>
        <v>0</v>
      </c>
      <c r="AU273" s="379">
        <f t="shared" si="259"/>
        <v>0</v>
      </c>
      <c r="AV273" s="379">
        <f t="shared" si="260"/>
        <v>0</v>
      </c>
      <c r="AW273" s="379">
        <f t="shared" si="261"/>
        <v>0</v>
      </c>
      <c r="AX273" s="379">
        <f t="shared" si="262"/>
        <v>0</v>
      </c>
      <c r="AY273" s="379">
        <f t="shared" si="263"/>
        <v>0</v>
      </c>
    </row>
    <row r="274" spans="1:51" x14ac:dyDescent="0.2">
      <c r="A274" s="376">
        <v>14950</v>
      </c>
      <c r="B274" s="378" t="str">
        <f t="shared" si="216"/>
        <v>Lockhart (A)</v>
      </c>
      <c r="C274" s="377" t="str">
        <f t="shared" si="217"/>
        <v>REROC</v>
      </c>
      <c r="D274" s="503" t="str">
        <f t="shared" si="218"/>
        <v>N</v>
      </c>
      <c r="E274" s="503"/>
      <c r="F274"/>
      <c r="G274" s="379">
        <f t="shared" si="219"/>
        <v>3103</v>
      </c>
      <c r="H274" s="379">
        <f t="shared" si="220"/>
        <v>2237</v>
      </c>
      <c r="I274" s="379">
        <f t="shared" si="221"/>
        <v>365</v>
      </c>
      <c r="J274" s="379" t="str">
        <f t="shared" si="222"/>
        <v>Y</v>
      </c>
      <c r="K274" s="379">
        <f t="shared" si="223"/>
        <v>984</v>
      </c>
      <c r="L274" s="379">
        <f t="shared" si="224"/>
        <v>0</v>
      </c>
      <c r="M274" s="379">
        <f t="shared" si="225"/>
        <v>971</v>
      </c>
      <c r="N274" s="379">
        <f t="shared" si="226"/>
        <v>0</v>
      </c>
      <c r="O274" s="379">
        <f t="shared" si="227"/>
        <v>0</v>
      </c>
      <c r="P274" s="379" t="str">
        <f t="shared" si="228"/>
        <v>Y</v>
      </c>
      <c r="Q274" s="379" t="str">
        <f t="shared" si="229"/>
        <v>Y</v>
      </c>
      <c r="R274" s="379" t="str">
        <f t="shared" si="230"/>
        <v>The Rock Cardboard</v>
      </c>
      <c r="S274" s="379" t="str">
        <f t="shared" si="231"/>
        <v>Lockhart Lions Club</v>
      </c>
      <c r="T274" s="379" t="str">
        <f t="shared" si="232"/>
        <v>REROC Household Hazardous Waste Collection</v>
      </c>
      <c r="U274" s="379" t="str">
        <f t="shared" si="233"/>
        <v>Lockhart Community Recycling Centre</v>
      </c>
      <c r="V274" s="379">
        <f t="shared" si="234"/>
        <v>0</v>
      </c>
      <c r="W274" s="379">
        <f t="shared" si="235"/>
        <v>0</v>
      </c>
      <c r="X274" s="379">
        <f t="shared" si="236"/>
        <v>0</v>
      </c>
      <c r="Y274" s="379">
        <f t="shared" si="237"/>
        <v>0</v>
      </c>
      <c r="Z274" s="379">
        <f t="shared" si="238"/>
        <v>0</v>
      </c>
      <c r="AA274" s="379">
        <f t="shared" si="239"/>
        <v>0</v>
      </c>
      <c r="AB274" s="379">
        <f t="shared" si="240"/>
        <v>0</v>
      </c>
      <c r="AC274" s="379">
        <f t="shared" si="241"/>
        <v>0</v>
      </c>
      <c r="AD274" s="379">
        <f t="shared" si="242"/>
        <v>0</v>
      </c>
      <c r="AE274" s="379">
        <f t="shared" si="243"/>
        <v>0</v>
      </c>
      <c r="AF274" s="379">
        <f t="shared" si="244"/>
        <v>0</v>
      </c>
      <c r="AG274" s="379">
        <f t="shared" si="245"/>
        <v>0</v>
      </c>
      <c r="AH274" s="379">
        <f t="shared" si="246"/>
        <v>0</v>
      </c>
      <c r="AI274" s="379">
        <f t="shared" si="247"/>
        <v>0</v>
      </c>
      <c r="AJ274" s="379">
        <f t="shared" si="248"/>
        <v>0</v>
      </c>
      <c r="AK274" s="379">
        <f t="shared" si="249"/>
        <v>0</v>
      </c>
      <c r="AL274" s="379">
        <f t="shared" si="250"/>
        <v>0</v>
      </c>
      <c r="AM274" s="379">
        <f t="shared" si="251"/>
        <v>0</v>
      </c>
      <c r="AN274" s="490">
        <f t="shared" si="252"/>
        <v>0</v>
      </c>
      <c r="AO274" s="379">
        <f t="shared" si="253"/>
        <v>0</v>
      </c>
      <c r="AP274" s="379">
        <f t="shared" si="254"/>
        <v>0</v>
      </c>
      <c r="AQ274" s="379">
        <f t="shared" si="255"/>
        <v>0</v>
      </c>
      <c r="AR274" s="379">
        <f t="shared" si="256"/>
        <v>0</v>
      </c>
      <c r="AS274" s="379">
        <f t="shared" si="257"/>
        <v>0</v>
      </c>
      <c r="AT274" s="379">
        <f t="shared" si="258"/>
        <v>0</v>
      </c>
      <c r="AU274" s="379">
        <f t="shared" si="259"/>
        <v>0</v>
      </c>
      <c r="AV274" s="379">
        <f t="shared" si="260"/>
        <v>0</v>
      </c>
      <c r="AW274" s="379">
        <f t="shared" si="261"/>
        <v>0</v>
      </c>
      <c r="AX274" s="379">
        <f t="shared" si="262"/>
        <v>0</v>
      </c>
      <c r="AY274" s="379">
        <f t="shared" si="263"/>
        <v>0</v>
      </c>
    </row>
    <row r="275" spans="1:51" x14ac:dyDescent="0.2">
      <c r="A275" s="376">
        <v>15270</v>
      </c>
      <c r="B275" s="378" t="str">
        <f t="shared" si="216"/>
        <v>Mid-Western Regional (A)</v>
      </c>
      <c r="C275" s="377" t="str">
        <f t="shared" si="217"/>
        <v>NetWaste</v>
      </c>
      <c r="D275" s="503" t="str">
        <f t="shared" si="218"/>
        <v>N</v>
      </c>
      <c r="E275" s="503"/>
      <c r="F275"/>
      <c r="G275" s="379">
        <f t="shared" si="219"/>
        <v>24313</v>
      </c>
      <c r="H275" s="379">
        <f t="shared" si="220"/>
        <v>13192</v>
      </c>
      <c r="I275" s="379">
        <f t="shared" si="221"/>
        <v>171</v>
      </c>
      <c r="J275" s="379" t="str">
        <f t="shared" si="222"/>
        <v>Y</v>
      </c>
      <c r="K275" s="379">
        <f t="shared" si="223"/>
        <v>7666</v>
      </c>
      <c r="L275" s="379">
        <f t="shared" si="224"/>
        <v>0</v>
      </c>
      <c r="M275" s="379">
        <f t="shared" si="225"/>
        <v>7666</v>
      </c>
      <c r="N275" s="379">
        <f t="shared" si="226"/>
        <v>0</v>
      </c>
      <c r="O275" s="379">
        <f t="shared" si="227"/>
        <v>0</v>
      </c>
      <c r="P275" s="379">
        <f t="shared" si="228"/>
        <v>0</v>
      </c>
      <c r="Q275" s="379" t="str">
        <f t="shared" si="229"/>
        <v>Y</v>
      </c>
      <c r="R275" s="379" t="str">
        <f t="shared" si="230"/>
        <v>Kandos Waste Transfer Station</v>
      </c>
      <c r="S275" s="379" t="str">
        <f t="shared" si="231"/>
        <v>Mudgee Waste Facility</v>
      </c>
      <c r="T275" s="379" t="str">
        <f t="shared" si="232"/>
        <v>Other Waste Transfers x 13</v>
      </c>
      <c r="U275" s="379">
        <f t="shared" si="233"/>
        <v>0</v>
      </c>
      <c r="V275" s="379">
        <f t="shared" si="234"/>
        <v>0</v>
      </c>
      <c r="W275" s="379">
        <f t="shared" si="235"/>
        <v>0</v>
      </c>
      <c r="X275" s="379">
        <f t="shared" si="236"/>
        <v>0</v>
      </c>
      <c r="Y275" s="379">
        <f t="shared" si="237"/>
        <v>0</v>
      </c>
      <c r="Z275" s="379">
        <f t="shared" si="238"/>
        <v>0</v>
      </c>
      <c r="AA275" s="379">
        <f t="shared" si="239"/>
        <v>0</v>
      </c>
      <c r="AB275" s="379">
        <f t="shared" si="240"/>
        <v>0</v>
      </c>
      <c r="AC275" s="379">
        <f t="shared" si="241"/>
        <v>0</v>
      </c>
      <c r="AD275" s="379">
        <f t="shared" si="242"/>
        <v>0</v>
      </c>
      <c r="AE275" s="379">
        <f t="shared" si="243"/>
        <v>0</v>
      </c>
      <c r="AF275" s="379">
        <f t="shared" si="244"/>
        <v>0</v>
      </c>
      <c r="AG275" s="379">
        <f t="shared" si="245"/>
        <v>0</v>
      </c>
      <c r="AH275" s="379">
        <f t="shared" si="246"/>
        <v>0</v>
      </c>
      <c r="AI275" s="379">
        <f t="shared" si="247"/>
        <v>0</v>
      </c>
      <c r="AJ275" s="379">
        <f t="shared" si="248"/>
        <v>0</v>
      </c>
      <c r="AK275" s="379">
        <f t="shared" si="249"/>
        <v>0</v>
      </c>
      <c r="AL275" s="379">
        <f t="shared" si="250"/>
        <v>0</v>
      </c>
      <c r="AM275" s="379">
        <f t="shared" si="251"/>
        <v>0</v>
      </c>
      <c r="AN275" s="490">
        <f t="shared" si="252"/>
        <v>0</v>
      </c>
      <c r="AO275" s="379">
        <f t="shared" si="253"/>
        <v>0</v>
      </c>
      <c r="AP275" s="379">
        <f t="shared" si="254"/>
        <v>0</v>
      </c>
      <c r="AQ275" s="379">
        <f t="shared" si="255"/>
        <v>0</v>
      </c>
      <c r="AR275" s="379">
        <f t="shared" si="256"/>
        <v>0</v>
      </c>
      <c r="AS275" s="379">
        <f t="shared" si="257"/>
        <v>0</v>
      </c>
      <c r="AT275" s="379">
        <f t="shared" si="258"/>
        <v>0</v>
      </c>
      <c r="AU275" s="379">
        <f t="shared" si="259"/>
        <v>0</v>
      </c>
      <c r="AV275" s="379">
        <f t="shared" si="260"/>
        <v>0</v>
      </c>
      <c r="AW275" s="379">
        <f t="shared" si="261"/>
        <v>0</v>
      </c>
      <c r="AX275" s="379">
        <f t="shared" si="262"/>
        <v>0</v>
      </c>
      <c r="AY275" s="379">
        <f t="shared" si="263"/>
        <v>0</v>
      </c>
    </row>
    <row r="276" spans="1:51" x14ac:dyDescent="0.2">
      <c r="A276" s="376">
        <v>15300</v>
      </c>
      <c r="B276" s="378" t="str">
        <f t="shared" si="216"/>
        <v>Moree Plains (A)</v>
      </c>
      <c r="C276" s="377" t="str">
        <f t="shared" si="217"/>
        <v>NIRW</v>
      </c>
      <c r="D276" s="503" t="str">
        <f t="shared" si="218"/>
        <v>N</v>
      </c>
      <c r="E276" s="503"/>
      <c r="F276"/>
      <c r="G276" s="379">
        <f t="shared" si="219"/>
        <v>13866</v>
      </c>
      <c r="H276" s="379">
        <f t="shared" si="220"/>
        <v>6529</v>
      </c>
      <c r="I276" s="379">
        <f t="shared" si="221"/>
        <v>438.35</v>
      </c>
      <c r="J276" s="379" t="str">
        <f t="shared" si="222"/>
        <v>Y</v>
      </c>
      <c r="K276" s="379">
        <f t="shared" si="223"/>
        <v>5881</v>
      </c>
      <c r="L276" s="379">
        <f t="shared" si="224"/>
        <v>0</v>
      </c>
      <c r="M276" s="379">
        <f t="shared" si="225"/>
        <v>4664</v>
      </c>
      <c r="N276" s="379">
        <f t="shared" si="226"/>
        <v>0</v>
      </c>
      <c r="O276" s="379">
        <f t="shared" si="227"/>
        <v>4669</v>
      </c>
      <c r="P276" s="379" t="str">
        <f t="shared" si="228"/>
        <v>Y</v>
      </c>
      <c r="Q276" s="379" t="str">
        <f t="shared" si="229"/>
        <v>Y</v>
      </c>
      <c r="R276" s="379" t="str">
        <f t="shared" si="230"/>
        <v>Moree Waste Management Facility</v>
      </c>
      <c r="S276" s="379" t="str">
        <f t="shared" si="231"/>
        <v>Mungindi Transferstation</v>
      </c>
      <c r="T276" s="379" t="str">
        <f t="shared" si="232"/>
        <v>Pallamallawa Landfill</v>
      </c>
      <c r="U276" s="379" t="str">
        <f t="shared" si="233"/>
        <v>Biniguy Landfill</v>
      </c>
      <c r="V276" s="379" t="str">
        <f t="shared" si="234"/>
        <v>Boggabilla Landfill</v>
      </c>
      <c r="W276" s="379" t="str">
        <f t="shared" si="235"/>
        <v>Other landfills</v>
      </c>
      <c r="X276" s="379">
        <f t="shared" si="236"/>
        <v>0</v>
      </c>
      <c r="Y276" s="379">
        <f t="shared" si="237"/>
        <v>0</v>
      </c>
      <c r="Z276" s="379">
        <f t="shared" si="238"/>
        <v>0</v>
      </c>
      <c r="AA276" s="379">
        <f t="shared" si="239"/>
        <v>0</v>
      </c>
      <c r="AB276" s="379">
        <f t="shared" si="240"/>
        <v>0</v>
      </c>
      <c r="AC276" s="379">
        <f t="shared" si="241"/>
        <v>0</v>
      </c>
      <c r="AD276" s="379">
        <f t="shared" si="242"/>
        <v>0</v>
      </c>
      <c r="AE276" s="379">
        <f t="shared" si="243"/>
        <v>0</v>
      </c>
      <c r="AF276" s="379">
        <f t="shared" si="244"/>
        <v>0</v>
      </c>
      <c r="AG276" s="379">
        <f t="shared" si="245"/>
        <v>0</v>
      </c>
      <c r="AH276" s="379">
        <f t="shared" si="246"/>
        <v>0</v>
      </c>
      <c r="AI276" s="379">
        <f t="shared" si="247"/>
        <v>0</v>
      </c>
      <c r="AJ276" s="379">
        <f t="shared" si="248"/>
        <v>0</v>
      </c>
      <c r="AK276" s="379">
        <f t="shared" si="249"/>
        <v>0</v>
      </c>
      <c r="AL276" s="379">
        <f t="shared" si="250"/>
        <v>0</v>
      </c>
      <c r="AM276" s="379">
        <f t="shared" si="251"/>
        <v>0</v>
      </c>
      <c r="AN276" s="490">
        <f t="shared" si="252"/>
        <v>0</v>
      </c>
      <c r="AO276" s="379">
        <f t="shared" si="253"/>
        <v>0</v>
      </c>
      <c r="AP276" s="379">
        <f t="shared" si="254"/>
        <v>0</v>
      </c>
      <c r="AQ276" s="379">
        <f t="shared" si="255"/>
        <v>0</v>
      </c>
      <c r="AR276" s="379">
        <f t="shared" si="256"/>
        <v>0</v>
      </c>
      <c r="AS276" s="379">
        <f t="shared" si="257"/>
        <v>0</v>
      </c>
      <c r="AT276" s="379">
        <f t="shared" si="258"/>
        <v>0</v>
      </c>
      <c r="AU276" s="379">
        <f t="shared" si="259"/>
        <v>0</v>
      </c>
      <c r="AV276" s="379">
        <f t="shared" si="260"/>
        <v>0</v>
      </c>
      <c r="AW276" s="379">
        <f t="shared" si="261"/>
        <v>0</v>
      </c>
      <c r="AX276" s="379">
        <f t="shared" si="262"/>
        <v>0</v>
      </c>
      <c r="AY276" s="379">
        <f t="shared" si="263"/>
        <v>0</v>
      </c>
    </row>
    <row r="277" spans="1:51" x14ac:dyDescent="0.2">
      <c r="A277" s="376">
        <v>15520</v>
      </c>
      <c r="B277" s="378" t="str">
        <f t="shared" si="216"/>
        <v>Murray River (A)</v>
      </c>
      <c r="C277" s="377" t="str">
        <f t="shared" si="217"/>
        <v>RAMROC Murray</v>
      </c>
      <c r="D277" s="503" t="str">
        <f t="shared" si="218"/>
        <v>N</v>
      </c>
      <c r="E277" s="503"/>
      <c r="F277"/>
      <c r="G277" s="379">
        <f t="shared" si="219"/>
        <v>11596</v>
      </c>
      <c r="H277" s="379">
        <f t="shared" si="220"/>
        <v>5283</v>
      </c>
      <c r="I277" s="379">
        <f t="shared" si="221"/>
        <v>198.99</v>
      </c>
      <c r="J277" s="379" t="str">
        <f t="shared" si="222"/>
        <v>Y</v>
      </c>
      <c r="K277" s="379">
        <f t="shared" si="223"/>
        <v>4763</v>
      </c>
      <c r="L277" s="379">
        <f t="shared" si="224"/>
        <v>0</v>
      </c>
      <c r="M277" s="379">
        <f t="shared" si="225"/>
        <v>4680</v>
      </c>
      <c r="N277" s="379">
        <f t="shared" si="226"/>
        <v>0</v>
      </c>
      <c r="O277" s="379">
        <f t="shared" si="227"/>
        <v>0</v>
      </c>
      <c r="P277" s="379">
        <f t="shared" si="228"/>
        <v>0</v>
      </c>
      <c r="Q277" s="379" t="str">
        <f t="shared" si="229"/>
        <v>Y</v>
      </c>
      <c r="R277" s="379" t="str">
        <f t="shared" si="230"/>
        <v>Mathoura Transfer Station</v>
      </c>
      <c r="S277" s="379" t="str">
        <f t="shared" si="231"/>
        <v>Moama Landfill</v>
      </c>
      <c r="T277" s="379" t="str">
        <f t="shared" si="232"/>
        <v>Barham Transfer Station</v>
      </c>
      <c r="U277" s="379" t="str">
        <f t="shared" si="233"/>
        <v>Wakool Landfill</v>
      </c>
      <c r="V277" s="379" t="str">
        <f t="shared" si="234"/>
        <v>Goodnight Landfill</v>
      </c>
      <c r="W277" s="379" t="str">
        <f t="shared" si="235"/>
        <v>Moulamein/Kooraleigh Landfill</v>
      </c>
      <c r="X277" s="379">
        <f t="shared" si="236"/>
        <v>0</v>
      </c>
      <c r="Y277" s="379">
        <f t="shared" si="237"/>
        <v>0</v>
      </c>
      <c r="Z277" s="379">
        <f t="shared" si="238"/>
        <v>0</v>
      </c>
      <c r="AA277" s="379">
        <f t="shared" si="239"/>
        <v>0</v>
      </c>
      <c r="AB277" s="379">
        <f t="shared" si="240"/>
        <v>0</v>
      </c>
      <c r="AC277" s="379">
        <f t="shared" si="241"/>
        <v>0</v>
      </c>
      <c r="AD277" s="379">
        <f t="shared" si="242"/>
        <v>0</v>
      </c>
      <c r="AE277" s="379">
        <f t="shared" si="243"/>
        <v>0</v>
      </c>
      <c r="AF277" s="379">
        <f t="shared" si="244"/>
        <v>0</v>
      </c>
      <c r="AG277" s="379">
        <f t="shared" si="245"/>
        <v>0</v>
      </c>
      <c r="AH277" s="379">
        <f t="shared" si="246"/>
        <v>0</v>
      </c>
      <c r="AI277" s="379">
        <f t="shared" si="247"/>
        <v>0</v>
      </c>
      <c r="AJ277" s="379">
        <f t="shared" si="248"/>
        <v>0</v>
      </c>
      <c r="AK277" s="379">
        <f t="shared" si="249"/>
        <v>0</v>
      </c>
      <c r="AL277" s="379">
        <f t="shared" si="250"/>
        <v>0</v>
      </c>
      <c r="AM277" s="379">
        <f t="shared" si="251"/>
        <v>0</v>
      </c>
      <c r="AN277" s="490">
        <f t="shared" si="252"/>
        <v>0</v>
      </c>
      <c r="AO277" s="379">
        <f t="shared" si="253"/>
        <v>0</v>
      </c>
      <c r="AP277" s="379">
        <f t="shared" si="254"/>
        <v>0</v>
      </c>
      <c r="AQ277" s="379">
        <f t="shared" si="255"/>
        <v>0</v>
      </c>
      <c r="AR277" s="379">
        <f t="shared" si="256"/>
        <v>0</v>
      </c>
      <c r="AS277" s="379">
        <f t="shared" si="257"/>
        <v>0</v>
      </c>
      <c r="AT277" s="379">
        <f t="shared" si="258"/>
        <v>0</v>
      </c>
      <c r="AU277" s="379">
        <f t="shared" si="259"/>
        <v>0</v>
      </c>
      <c r="AV277" s="379">
        <f t="shared" si="260"/>
        <v>0</v>
      </c>
      <c r="AW277" s="379">
        <f t="shared" si="261"/>
        <v>0</v>
      </c>
      <c r="AX277" s="379">
        <f t="shared" si="262"/>
        <v>0</v>
      </c>
      <c r="AY277" s="379">
        <f t="shared" si="263"/>
        <v>0</v>
      </c>
    </row>
    <row r="278" spans="1:51" x14ac:dyDescent="0.2">
      <c r="A278" s="376">
        <v>15560</v>
      </c>
      <c r="B278" s="378" t="str">
        <f t="shared" si="216"/>
        <v>Murrumbidgee (A)</v>
      </c>
      <c r="C278" s="377" t="str">
        <f t="shared" si="217"/>
        <v>RAMROC Riverina</v>
      </c>
      <c r="D278" s="503" t="str">
        <f t="shared" si="218"/>
        <v>N</v>
      </c>
      <c r="E278" s="503"/>
      <c r="F278"/>
      <c r="G278" s="379">
        <f t="shared" si="219"/>
        <v>4071</v>
      </c>
      <c r="H278" s="379">
        <f t="shared" si="220"/>
        <v>1128</v>
      </c>
      <c r="I278" s="379">
        <f t="shared" si="221"/>
        <v>155</v>
      </c>
      <c r="J278" s="379" t="str">
        <f t="shared" si="222"/>
        <v>Y</v>
      </c>
      <c r="K278" s="379">
        <f t="shared" si="223"/>
        <v>1460</v>
      </c>
      <c r="L278" s="379">
        <f t="shared" si="224"/>
        <v>0</v>
      </c>
      <c r="M278" s="379">
        <f t="shared" si="225"/>
        <v>800</v>
      </c>
      <c r="N278" s="379">
        <f t="shared" si="226"/>
        <v>0</v>
      </c>
      <c r="O278" s="379">
        <f t="shared" si="227"/>
        <v>0</v>
      </c>
      <c r="P278" s="379">
        <f t="shared" si="228"/>
        <v>0</v>
      </c>
      <c r="Q278" s="379">
        <f t="shared" si="229"/>
        <v>0</v>
      </c>
      <c r="R278" s="379">
        <f t="shared" si="230"/>
        <v>0</v>
      </c>
      <c r="S278" s="379">
        <f t="shared" si="231"/>
        <v>0</v>
      </c>
      <c r="T278" s="379">
        <f t="shared" si="232"/>
        <v>0</v>
      </c>
      <c r="U278" s="379">
        <f t="shared" si="233"/>
        <v>0</v>
      </c>
      <c r="V278" s="379">
        <f t="shared" si="234"/>
        <v>0</v>
      </c>
      <c r="W278" s="379">
        <f t="shared" si="235"/>
        <v>0</v>
      </c>
      <c r="X278" s="379">
        <f t="shared" si="236"/>
        <v>0</v>
      </c>
      <c r="Y278" s="379">
        <f t="shared" si="237"/>
        <v>0</v>
      </c>
      <c r="Z278" s="379">
        <f t="shared" si="238"/>
        <v>0</v>
      </c>
      <c r="AA278" s="379">
        <f t="shared" si="239"/>
        <v>0</v>
      </c>
      <c r="AB278" s="379">
        <f t="shared" si="240"/>
        <v>0</v>
      </c>
      <c r="AC278" s="379">
        <f t="shared" si="241"/>
        <v>0</v>
      </c>
      <c r="AD278" s="379">
        <f t="shared" si="242"/>
        <v>0</v>
      </c>
      <c r="AE278" s="379">
        <f t="shared" si="243"/>
        <v>0</v>
      </c>
      <c r="AF278" s="379">
        <f t="shared" si="244"/>
        <v>0</v>
      </c>
      <c r="AG278" s="379">
        <f t="shared" si="245"/>
        <v>0</v>
      </c>
      <c r="AH278" s="379">
        <f t="shared" si="246"/>
        <v>0</v>
      </c>
      <c r="AI278" s="379">
        <f t="shared" si="247"/>
        <v>0</v>
      </c>
      <c r="AJ278" s="379">
        <f t="shared" si="248"/>
        <v>0</v>
      </c>
      <c r="AK278" s="379">
        <f t="shared" si="249"/>
        <v>0</v>
      </c>
      <c r="AL278" s="379">
        <f t="shared" si="250"/>
        <v>0</v>
      </c>
      <c r="AM278" s="379">
        <f t="shared" si="251"/>
        <v>0</v>
      </c>
      <c r="AN278" s="490">
        <f t="shared" si="252"/>
        <v>0</v>
      </c>
      <c r="AO278" s="379">
        <f t="shared" si="253"/>
        <v>0</v>
      </c>
      <c r="AP278" s="379">
        <f t="shared" si="254"/>
        <v>0</v>
      </c>
      <c r="AQ278" s="379">
        <f t="shared" si="255"/>
        <v>0</v>
      </c>
      <c r="AR278" s="379">
        <f t="shared" si="256"/>
        <v>0</v>
      </c>
      <c r="AS278" s="379">
        <f t="shared" si="257"/>
        <v>0</v>
      </c>
      <c r="AT278" s="379">
        <f t="shared" si="258"/>
        <v>0</v>
      </c>
      <c r="AU278" s="379">
        <f t="shared" si="259"/>
        <v>0</v>
      </c>
      <c r="AV278" s="379">
        <f t="shared" si="260"/>
        <v>0</v>
      </c>
      <c r="AW278" s="379">
        <f t="shared" si="261"/>
        <v>0</v>
      </c>
      <c r="AX278" s="379">
        <f t="shared" si="262"/>
        <v>0</v>
      </c>
      <c r="AY278" s="379">
        <f t="shared" si="263"/>
        <v>0</v>
      </c>
    </row>
    <row r="279" spans="1:51" x14ac:dyDescent="0.2">
      <c r="A279" s="376">
        <v>15750</v>
      </c>
      <c r="B279" s="378" t="str">
        <f t="shared" si="216"/>
        <v>Narrabri (A)</v>
      </c>
      <c r="C279" s="377" t="str">
        <f t="shared" si="217"/>
        <v>NIRW</v>
      </c>
      <c r="D279" s="503" t="str">
        <f t="shared" si="218"/>
        <v>N</v>
      </c>
      <c r="E279" s="503"/>
      <c r="F279"/>
      <c r="G279" s="379">
        <f t="shared" si="219"/>
        <v>13717</v>
      </c>
      <c r="H279" s="379">
        <f t="shared" si="220"/>
        <v>5055</v>
      </c>
      <c r="I279" s="379">
        <f t="shared" si="221"/>
        <v>310</v>
      </c>
      <c r="J279" s="379" t="str">
        <f t="shared" si="222"/>
        <v>Y</v>
      </c>
      <c r="K279" s="379">
        <f t="shared" si="223"/>
        <v>4277</v>
      </c>
      <c r="L279" s="379">
        <f t="shared" si="224"/>
        <v>0</v>
      </c>
      <c r="M279" s="379">
        <f t="shared" si="225"/>
        <v>4245</v>
      </c>
      <c r="N279" s="379">
        <f t="shared" si="226"/>
        <v>0</v>
      </c>
      <c r="O279" s="379">
        <f t="shared" si="227"/>
        <v>4262</v>
      </c>
      <c r="P279" s="379" t="str">
        <f t="shared" si="228"/>
        <v>Y</v>
      </c>
      <c r="Q279" s="379" t="str">
        <f t="shared" si="229"/>
        <v>Y</v>
      </c>
      <c r="R279" s="379" t="str">
        <f t="shared" si="230"/>
        <v>9 transfer stations</v>
      </c>
      <c r="S279" s="379">
        <f t="shared" si="231"/>
        <v>0</v>
      </c>
      <c r="T279" s="379">
        <f t="shared" si="232"/>
        <v>0</v>
      </c>
      <c r="U279" s="379">
        <f t="shared" si="233"/>
        <v>0</v>
      </c>
      <c r="V279" s="379">
        <f t="shared" si="234"/>
        <v>0</v>
      </c>
      <c r="W279" s="379">
        <f t="shared" si="235"/>
        <v>0</v>
      </c>
      <c r="X279" s="379">
        <f t="shared" si="236"/>
        <v>0</v>
      </c>
      <c r="Y279" s="379">
        <f t="shared" si="237"/>
        <v>0</v>
      </c>
      <c r="Z279" s="379">
        <f t="shared" si="238"/>
        <v>0</v>
      </c>
      <c r="AA279" s="379">
        <f t="shared" si="239"/>
        <v>0</v>
      </c>
      <c r="AB279" s="379">
        <f t="shared" si="240"/>
        <v>0</v>
      </c>
      <c r="AC279" s="379">
        <f t="shared" si="241"/>
        <v>0</v>
      </c>
      <c r="AD279" s="379">
        <f t="shared" si="242"/>
        <v>0</v>
      </c>
      <c r="AE279" s="379">
        <f t="shared" si="243"/>
        <v>0</v>
      </c>
      <c r="AF279" s="379">
        <f t="shared" si="244"/>
        <v>0</v>
      </c>
      <c r="AG279" s="379">
        <f t="shared" si="245"/>
        <v>0</v>
      </c>
      <c r="AH279" s="379">
        <f t="shared" si="246"/>
        <v>0</v>
      </c>
      <c r="AI279" s="379">
        <f t="shared" si="247"/>
        <v>0</v>
      </c>
      <c r="AJ279" s="379">
        <f t="shared" si="248"/>
        <v>0</v>
      </c>
      <c r="AK279" s="379">
        <f t="shared" si="249"/>
        <v>0</v>
      </c>
      <c r="AL279" s="379">
        <f t="shared" si="250"/>
        <v>0</v>
      </c>
      <c r="AM279" s="379">
        <f t="shared" si="251"/>
        <v>0</v>
      </c>
      <c r="AN279" s="490">
        <f t="shared" si="252"/>
        <v>0</v>
      </c>
      <c r="AO279" s="379">
        <f t="shared" si="253"/>
        <v>0</v>
      </c>
      <c r="AP279" s="379">
        <f t="shared" si="254"/>
        <v>0</v>
      </c>
      <c r="AQ279" s="379">
        <f t="shared" si="255"/>
        <v>0</v>
      </c>
      <c r="AR279" s="379">
        <f t="shared" si="256"/>
        <v>0</v>
      </c>
      <c r="AS279" s="379">
        <f t="shared" si="257"/>
        <v>0</v>
      </c>
      <c r="AT279" s="379">
        <f t="shared" si="258"/>
        <v>0</v>
      </c>
      <c r="AU279" s="379">
        <f t="shared" si="259"/>
        <v>0</v>
      </c>
      <c r="AV279" s="379">
        <f t="shared" si="260"/>
        <v>0</v>
      </c>
      <c r="AW279" s="379">
        <f t="shared" si="261"/>
        <v>0</v>
      </c>
      <c r="AX279" s="379">
        <f t="shared" si="262"/>
        <v>0</v>
      </c>
      <c r="AY279" s="379">
        <f t="shared" si="263"/>
        <v>0</v>
      </c>
    </row>
    <row r="280" spans="1:51" x14ac:dyDescent="0.2">
      <c r="A280" s="376">
        <v>15800</v>
      </c>
      <c r="B280" s="378" t="str">
        <f t="shared" si="216"/>
        <v>Narrandera (A)</v>
      </c>
      <c r="C280" s="377" t="str">
        <f t="shared" si="217"/>
        <v>RAMROC Riverina</v>
      </c>
      <c r="D280" s="503" t="str">
        <f t="shared" si="218"/>
        <v>N</v>
      </c>
      <c r="E280" s="503"/>
      <c r="F280"/>
      <c r="G280" s="379">
        <f t="shared" si="219"/>
        <v>5912</v>
      </c>
      <c r="H280" s="379">
        <f t="shared" si="220"/>
        <v>2546</v>
      </c>
      <c r="I280" s="379">
        <f t="shared" si="221"/>
        <v>48.5</v>
      </c>
      <c r="J280" s="379" t="str">
        <f t="shared" si="222"/>
        <v>Y</v>
      </c>
      <c r="K280" s="379">
        <f t="shared" si="223"/>
        <v>3047</v>
      </c>
      <c r="L280" s="379">
        <f t="shared" si="224"/>
        <v>0</v>
      </c>
      <c r="M280" s="379">
        <f t="shared" si="225"/>
        <v>1012</v>
      </c>
      <c r="N280" s="379">
        <f t="shared" si="226"/>
        <v>0</v>
      </c>
      <c r="O280" s="379">
        <f t="shared" si="227"/>
        <v>0</v>
      </c>
      <c r="P280" s="379">
        <f t="shared" si="228"/>
        <v>0</v>
      </c>
      <c r="Q280" s="379">
        <f t="shared" si="229"/>
        <v>0</v>
      </c>
      <c r="R280" s="379">
        <f t="shared" si="230"/>
        <v>0</v>
      </c>
      <c r="S280" s="379">
        <f t="shared" si="231"/>
        <v>0</v>
      </c>
      <c r="T280" s="379">
        <f t="shared" si="232"/>
        <v>0</v>
      </c>
      <c r="U280" s="379">
        <f t="shared" si="233"/>
        <v>0</v>
      </c>
      <c r="V280" s="379">
        <f t="shared" si="234"/>
        <v>0</v>
      </c>
      <c r="W280" s="379">
        <f t="shared" si="235"/>
        <v>0</v>
      </c>
      <c r="X280" s="379">
        <f t="shared" si="236"/>
        <v>0</v>
      </c>
      <c r="Y280" s="379">
        <f t="shared" si="237"/>
        <v>0</v>
      </c>
      <c r="Z280" s="379">
        <f t="shared" si="238"/>
        <v>0</v>
      </c>
      <c r="AA280" s="379">
        <f t="shared" si="239"/>
        <v>0</v>
      </c>
      <c r="AB280" s="379">
        <f t="shared" si="240"/>
        <v>0</v>
      </c>
      <c r="AC280" s="379">
        <f t="shared" si="241"/>
        <v>0</v>
      </c>
      <c r="AD280" s="379">
        <f t="shared" si="242"/>
        <v>0</v>
      </c>
      <c r="AE280" s="379">
        <f t="shared" si="243"/>
        <v>0</v>
      </c>
      <c r="AF280" s="379">
        <f t="shared" si="244"/>
        <v>0</v>
      </c>
      <c r="AG280" s="379">
        <f t="shared" si="245"/>
        <v>0</v>
      </c>
      <c r="AH280" s="379">
        <f t="shared" si="246"/>
        <v>0</v>
      </c>
      <c r="AI280" s="379">
        <f t="shared" si="247"/>
        <v>0</v>
      </c>
      <c r="AJ280" s="379">
        <f t="shared" si="248"/>
        <v>0</v>
      </c>
      <c r="AK280" s="379">
        <f t="shared" si="249"/>
        <v>0</v>
      </c>
      <c r="AL280" s="379">
        <f t="shared" si="250"/>
        <v>0</v>
      </c>
      <c r="AM280" s="379">
        <f t="shared" si="251"/>
        <v>0</v>
      </c>
      <c r="AN280" s="490">
        <f t="shared" si="252"/>
        <v>0</v>
      </c>
      <c r="AO280" s="379">
        <f t="shared" si="253"/>
        <v>0</v>
      </c>
      <c r="AP280" s="379">
        <f t="shared" si="254"/>
        <v>0</v>
      </c>
      <c r="AQ280" s="379">
        <f t="shared" si="255"/>
        <v>0</v>
      </c>
      <c r="AR280" s="379">
        <f t="shared" si="256"/>
        <v>0</v>
      </c>
      <c r="AS280" s="379">
        <f t="shared" si="257"/>
        <v>0</v>
      </c>
      <c r="AT280" s="379">
        <f t="shared" si="258"/>
        <v>0</v>
      </c>
      <c r="AU280" s="379">
        <f t="shared" si="259"/>
        <v>0</v>
      </c>
      <c r="AV280" s="379">
        <f t="shared" si="260"/>
        <v>0</v>
      </c>
      <c r="AW280" s="379">
        <f t="shared" si="261"/>
        <v>0</v>
      </c>
      <c r="AX280" s="379">
        <f t="shared" si="262"/>
        <v>0</v>
      </c>
      <c r="AY280" s="379">
        <f t="shared" si="263"/>
        <v>0</v>
      </c>
    </row>
    <row r="281" spans="1:51" x14ac:dyDescent="0.2">
      <c r="A281" s="376">
        <v>15850</v>
      </c>
      <c r="B281" s="378" t="str">
        <f t="shared" si="216"/>
        <v>Narromine (A)</v>
      </c>
      <c r="C281" s="377" t="str">
        <f t="shared" si="217"/>
        <v>NetWaste</v>
      </c>
      <c r="D281" s="503" t="str">
        <f t="shared" si="218"/>
        <v>N</v>
      </c>
      <c r="E281" s="503"/>
      <c r="F281"/>
      <c r="G281" s="379">
        <f t="shared" si="219"/>
        <v>6796</v>
      </c>
      <c r="H281" s="379">
        <f t="shared" si="220"/>
        <v>2172</v>
      </c>
      <c r="I281" s="379">
        <f t="shared" si="221"/>
        <v>371</v>
      </c>
      <c r="J281" s="379" t="str">
        <f t="shared" si="222"/>
        <v>Y</v>
      </c>
      <c r="K281" s="379">
        <f t="shared" si="223"/>
        <v>2172</v>
      </c>
      <c r="L281" s="379">
        <f t="shared" si="224"/>
        <v>0</v>
      </c>
      <c r="M281" s="379">
        <f t="shared" si="225"/>
        <v>2049</v>
      </c>
      <c r="N281" s="379">
        <f t="shared" si="226"/>
        <v>0</v>
      </c>
      <c r="O281" s="379">
        <f t="shared" si="227"/>
        <v>0</v>
      </c>
      <c r="P281" s="379">
        <f t="shared" si="228"/>
        <v>0</v>
      </c>
      <c r="Q281" s="379" t="str">
        <f t="shared" si="229"/>
        <v>Y</v>
      </c>
      <c r="R281" s="379" t="str">
        <f t="shared" si="230"/>
        <v>Narromine Waste Facility</v>
      </c>
      <c r="S281" s="379">
        <f t="shared" si="231"/>
        <v>0</v>
      </c>
      <c r="T281" s="379">
        <f t="shared" si="232"/>
        <v>0</v>
      </c>
      <c r="U281" s="379">
        <f t="shared" si="233"/>
        <v>0</v>
      </c>
      <c r="V281" s="379">
        <f t="shared" si="234"/>
        <v>0</v>
      </c>
      <c r="W281" s="379">
        <f t="shared" si="235"/>
        <v>0</v>
      </c>
      <c r="X281" s="379">
        <f t="shared" si="236"/>
        <v>0</v>
      </c>
      <c r="Y281" s="379">
        <f t="shared" si="237"/>
        <v>0</v>
      </c>
      <c r="Z281" s="379">
        <f t="shared" si="238"/>
        <v>0</v>
      </c>
      <c r="AA281" s="379">
        <f t="shared" si="239"/>
        <v>0</v>
      </c>
      <c r="AB281" s="379">
        <f t="shared" si="240"/>
        <v>0</v>
      </c>
      <c r="AC281" s="379">
        <f t="shared" si="241"/>
        <v>0</v>
      </c>
      <c r="AD281" s="379">
        <f t="shared" si="242"/>
        <v>0</v>
      </c>
      <c r="AE281" s="379">
        <f t="shared" si="243"/>
        <v>0</v>
      </c>
      <c r="AF281" s="379">
        <f t="shared" si="244"/>
        <v>0</v>
      </c>
      <c r="AG281" s="379">
        <f t="shared" si="245"/>
        <v>0</v>
      </c>
      <c r="AH281" s="379">
        <f t="shared" si="246"/>
        <v>0</v>
      </c>
      <c r="AI281" s="379">
        <f t="shared" si="247"/>
        <v>0</v>
      </c>
      <c r="AJ281" s="379">
        <f t="shared" si="248"/>
        <v>0</v>
      </c>
      <c r="AK281" s="379">
        <f t="shared" si="249"/>
        <v>0</v>
      </c>
      <c r="AL281" s="379">
        <f t="shared" si="250"/>
        <v>0</v>
      </c>
      <c r="AM281" s="379">
        <f t="shared" si="251"/>
        <v>0</v>
      </c>
      <c r="AN281" s="490">
        <f t="shared" si="252"/>
        <v>0</v>
      </c>
      <c r="AO281" s="379">
        <f t="shared" si="253"/>
        <v>0</v>
      </c>
      <c r="AP281" s="379">
        <f t="shared" si="254"/>
        <v>0</v>
      </c>
      <c r="AQ281" s="379">
        <f t="shared" si="255"/>
        <v>0</v>
      </c>
      <c r="AR281" s="379">
        <f t="shared" si="256"/>
        <v>0</v>
      </c>
      <c r="AS281" s="379">
        <f t="shared" si="257"/>
        <v>0</v>
      </c>
      <c r="AT281" s="379">
        <f t="shared" si="258"/>
        <v>0</v>
      </c>
      <c r="AU281" s="379">
        <f t="shared" si="259"/>
        <v>0</v>
      </c>
      <c r="AV281" s="379">
        <f t="shared" si="260"/>
        <v>0</v>
      </c>
      <c r="AW281" s="379">
        <f t="shared" si="261"/>
        <v>0</v>
      </c>
      <c r="AX281" s="379">
        <f t="shared" si="262"/>
        <v>0</v>
      </c>
      <c r="AY281" s="379">
        <f t="shared" si="263"/>
        <v>0</v>
      </c>
    </row>
    <row r="282" spans="1:51" x14ac:dyDescent="0.2">
      <c r="A282" s="376">
        <v>16100</v>
      </c>
      <c r="B282" s="378" t="str">
        <f t="shared" si="216"/>
        <v>Oberon (A)</v>
      </c>
      <c r="C282" s="377" t="str">
        <f t="shared" si="217"/>
        <v>NetWaste</v>
      </c>
      <c r="D282" s="503" t="str">
        <f t="shared" si="218"/>
        <v>N</v>
      </c>
      <c r="E282" s="503"/>
      <c r="F282"/>
      <c r="G282" s="379">
        <f t="shared" si="219"/>
        <v>5350</v>
      </c>
      <c r="H282" s="379">
        <f t="shared" si="220"/>
        <v>3733</v>
      </c>
      <c r="I282" s="379">
        <f t="shared" si="221"/>
        <v>200</v>
      </c>
      <c r="J282" s="379" t="str">
        <f t="shared" si="222"/>
        <v>Y</v>
      </c>
      <c r="K282" s="379">
        <f t="shared" si="223"/>
        <v>1202</v>
      </c>
      <c r="L282" s="379">
        <f t="shared" si="224"/>
        <v>0</v>
      </c>
      <c r="M282" s="379">
        <f t="shared" si="225"/>
        <v>0</v>
      </c>
      <c r="N282" s="379">
        <f t="shared" si="226"/>
        <v>0</v>
      </c>
      <c r="O282" s="379">
        <f t="shared" si="227"/>
        <v>0</v>
      </c>
      <c r="P282" s="379" t="str">
        <f t="shared" si="228"/>
        <v>Y</v>
      </c>
      <c r="Q282" s="379" t="str">
        <f t="shared" si="229"/>
        <v>Y</v>
      </c>
      <c r="R282" s="379" t="str">
        <f t="shared" si="230"/>
        <v>Oberon Waste Depot</v>
      </c>
      <c r="S282" s="379" t="str">
        <f t="shared" si="231"/>
        <v>Burraga</v>
      </c>
      <c r="T282" s="379" t="str">
        <f t="shared" si="232"/>
        <v>Black Springs</v>
      </c>
      <c r="U282" s="379">
        <f t="shared" si="233"/>
        <v>0</v>
      </c>
      <c r="V282" s="379">
        <f t="shared" si="234"/>
        <v>0</v>
      </c>
      <c r="W282" s="379">
        <f t="shared" si="235"/>
        <v>0</v>
      </c>
      <c r="X282" s="379">
        <f t="shared" si="236"/>
        <v>0</v>
      </c>
      <c r="Y282" s="379">
        <f t="shared" si="237"/>
        <v>0</v>
      </c>
      <c r="Z282" s="379">
        <f t="shared" si="238"/>
        <v>0</v>
      </c>
      <c r="AA282" s="379">
        <f t="shared" si="239"/>
        <v>0</v>
      </c>
      <c r="AB282" s="379">
        <f t="shared" si="240"/>
        <v>0</v>
      </c>
      <c r="AC282" s="379">
        <f t="shared" si="241"/>
        <v>0</v>
      </c>
      <c r="AD282" s="379">
        <f t="shared" si="242"/>
        <v>0</v>
      </c>
      <c r="AE282" s="379">
        <f t="shared" si="243"/>
        <v>0</v>
      </c>
      <c r="AF282" s="379">
        <f t="shared" si="244"/>
        <v>0</v>
      </c>
      <c r="AG282" s="379">
        <f t="shared" si="245"/>
        <v>0</v>
      </c>
      <c r="AH282" s="379">
        <f t="shared" si="246"/>
        <v>0</v>
      </c>
      <c r="AI282" s="379">
        <f t="shared" si="247"/>
        <v>0</v>
      </c>
      <c r="AJ282" s="379">
        <f t="shared" si="248"/>
        <v>0</v>
      </c>
      <c r="AK282" s="379">
        <f t="shared" si="249"/>
        <v>0</v>
      </c>
      <c r="AL282" s="379">
        <f t="shared" si="250"/>
        <v>0</v>
      </c>
      <c r="AM282" s="379">
        <f t="shared" si="251"/>
        <v>0</v>
      </c>
      <c r="AN282" s="490">
        <f t="shared" si="252"/>
        <v>0</v>
      </c>
      <c r="AO282" s="379">
        <f t="shared" si="253"/>
        <v>0</v>
      </c>
      <c r="AP282" s="379">
        <f t="shared" si="254"/>
        <v>0</v>
      </c>
      <c r="AQ282" s="379">
        <f t="shared" si="255"/>
        <v>0</v>
      </c>
      <c r="AR282" s="379">
        <f t="shared" si="256"/>
        <v>0</v>
      </c>
      <c r="AS282" s="379">
        <f t="shared" si="257"/>
        <v>0</v>
      </c>
      <c r="AT282" s="379">
        <f t="shared" si="258"/>
        <v>0</v>
      </c>
      <c r="AU282" s="379">
        <f t="shared" si="259"/>
        <v>0</v>
      </c>
      <c r="AV282" s="379">
        <f t="shared" si="260"/>
        <v>0</v>
      </c>
      <c r="AW282" s="379">
        <f t="shared" si="261"/>
        <v>0</v>
      </c>
      <c r="AX282" s="379">
        <f t="shared" si="262"/>
        <v>0</v>
      </c>
      <c r="AY282" s="379">
        <f t="shared" si="263"/>
        <v>0</v>
      </c>
    </row>
    <row r="283" spans="1:51" x14ac:dyDescent="0.2">
      <c r="A283" s="376">
        <v>16150</v>
      </c>
      <c r="B283" s="378" t="str">
        <f t="shared" si="216"/>
        <v>Orange (C)</v>
      </c>
      <c r="C283" s="377" t="str">
        <f t="shared" si="217"/>
        <v>NetWaste</v>
      </c>
      <c r="D283" s="503" t="str">
        <f t="shared" si="218"/>
        <v>N</v>
      </c>
      <c r="E283" s="503"/>
      <c r="F283"/>
      <c r="G283" s="379">
        <f t="shared" si="219"/>
        <v>42356</v>
      </c>
      <c r="H283" s="379">
        <f t="shared" si="220"/>
        <v>18241</v>
      </c>
      <c r="I283" s="379">
        <f t="shared" si="221"/>
        <v>395.15</v>
      </c>
      <c r="J283" s="379" t="str">
        <f t="shared" si="222"/>
        <v>Y</v>
      </c>
      <c r="K283" s="379">
        <f t="shared" si="223"/>
        <v>16785</v>
      </c>
      <c r="L283" s="379">
        <f t="shared" si="224"/>
        <v>0</v>
      </c>
      <c r="M283" s="379">
        <f t="shared" si="225"/>
        <v>16721</v>
      </c>
      <c r="N283" s="379">
        <f t="shared" si="226"/>
        <v>0</v>
      </c>
      <c r="O283" s="379">
        <f t="shared" si="227"/>
        <v>16250</v>
      </c>
      <c r="P283" s="379" t="str">
        <f t="shared" si="228"/>
        <v>Y</v>
      </c>
      <c r="Q283" s="379" t="str">
        <f t="shared" si="229"/>
        <v>Y</v>
      </c>
      <c r="R283" s="379" t="str">
        <f t="shared" si="230"/>
        <v>Ophir Rd Resource Recovery Centre</v>
      </c>
      <c r="S283" s="379">
        <f t="shared" si="231"/>
        <v>0</v>
      </c>
      <c r="T283" s="379">
        <f t="shared" si="232"/>
        <v>0</v>
      </c>
      <c r="U283" s="379">
        <f t="shared" si="233"/>
        <v>0</v>
      </c>
      <c r="V283" s="379">
        <f t="shared" si="234"/>
        <v>0</v>
      </c>
      <c r="W283" s="379">
        <f t="shared" si="235"/>
        <v>0</v>
      </c>
      <c r="X283" s="379">
        <f t="shared" si="236"/>
        <v>0</v>
      </c>
      <c r="Y283" s="379">
        <f t="shared" si="237"/>
        <v>0</v>
      </c>
      <c r="Z283" s="379">
        <f t="shared" si="238"/>
        <v>0</v>
      </c>
      <c r="AA283" s="379">
        <f t="shared" si="239"/>
        <v>0</v>
      </c>
      <c r="AB283" s="379">
        <f t="shared" si="240"/>
        <v>0</v>
      </c>
      <c r="AC283" s="379">
        <f t="shared" si="241"/>
        <v>0</v>
      </c>
      <c r="AD283" s="379">
        <f t="shared" si="242"/>
        <v>0</v>
      </c>
      <c r="AE283" s="379">
        <f t="shared" si="243"/>
        <v>0</v>
      </c>
      <c r="AF283" s="379">
        <f t="shared" si="244"/>
        <v>0</v>
      </c>
      <c r="AG283" s="379">
        <f t="shared" si="245"/>
        <v>0</v>
      </c>
      <c r="AH283" s="379">
        <f t="shared" si="246"/>
        <v>0</v>
      </c>
      <c r="AI283" s="379">
        <f t="shared" si="247"/>
        <v>0</v>
      </c>
      <c r="AJ283" s="379">
        <f t="shared" si="248"/>
        <v>0</v>
      </c>
      <c r="AK283" s="379">
        <f t="shared" si="249"/>
        <v>0</v>
      </c>
      <c r="AL283" s="379">
        <f t="shared" si="250"/>
        <v>0</v>
      </c>
      <c r="AM283" s="379">
        <f t="shared" si="251"/>
        <v>0</v>
      </c>
      <c r="AN283" s="490">
        <f t="shared" si="252"/>
        <v>0</v>
      </c>
      <c r="AO283" s="379">
        <f t="shared" si="253"/>
        <v>0</v>
      </c>
      <c r="AP283" s="379">
        <f t="shared" si="254"/>
        <v>0</v>
      </c>
      <c r="AQ283" s="379">
        <f t="shared" si="255"/>
        <v>0</v>
      </c>
      <c r="AR283" s="379">
        <f t="shared" si="256"/>
        <v>0</v>
      </c>
      <c r="AS283" s="379">
        <f t="shared" si="257"/>
        <v>0</v>
      </c>
      <c r="AT283" s="379">
        <f t="shared" si="258"/>
        <v>0</v>
      </c>
      <c r="AU283" s="379">
        <f t="shared" si="259"/>
        <v>0</v>
      </c>
      <c r="AV283" s="379">
        <f t="shared" si="260"/>
        <v>0</v>
      </c>
      <c r="AW283" s="379">
        <f t="shared" si="261"/>
        <v>0</v>
      </c>
      <c r="AX283" s="379">
        <f t="shared" si="262"/>
        <v>0</v>
      </c>
      <c r="AY283" s="379">
        <f t="shared" si="263"/>
        <v>0</v>
      </c>
    </row>
    <row r="284" spans="1:51" x14ac:dyDescent="0.2">
      <c r="A284" s="376">
        <v>16200</v>
      </c>
      <c r="B284" s="378" t="str">
        <f t="shared" si="216"/>
        <v>Parkes (A)</v>
      </c>
      <c r="C284" s="377" t="str">
        <f t="shared" si="217"/>
        <v>NetWaste</v>
      </c>
      <c r="D284" s="503" t="str">
        <f t="shared" si="218"/>
        <v>N</v>
      </c>
      <c r="E284" s="503"/>
      <c r="F284"/>
      <c r="G284" s="379">
        <f t="shared" si="219"/>
        <v>15328</v>
      </c>
      <c r="H284" s="379">
        <f t="shared" si="220"/>
        <v>7500</v>
      </c>
      <c r="I284" s="379">
        <f t="shared" si="221"/>
        <v>380</v>
      </c>
      <c r="J284" s="379" t="str">
        <f t="shared" si="222"/>
        <v>Y</v>
      </c>
      <c r="K284" s="379">
        <f t="shared" si="223"/>
        <v>4989</v>
      </c>
      <c r="L284" s="379">
        <f t="shared" si="224"/>
        <v>0</v>
      </c>
      <c r="M284" s="379">
        <f t="shared" si="225"/>
        <v>4989</v>
      </c>
      <c r="N284" s="379">
        <f t="shared" si="226"/>
        <v>0</v>
      </c>
      <c r="O284" s="379">
        <f t="shared" si="227"/>
        <v>0</v>
      </c>
      <c r="P284" s="379" t="str">
        <f t="shared" si="228"/>
        <v>Y</v>
      </c>
      <c r="Q284" s="379" t="str">
        <f t="shared" si="229"/>
        <v>Y</v>
      </c>
      <c r="R284" s="379" t="str">
        <f t="shared" si="230"/>
        <v>Tullamore</v>
      </c>
      <c r="S284" s="379">
        <f t="shared" si="231"/>
        <v>0</v>
      </c>
      <c r="T284" s="379">
        <f t="shared" si="232"/>
        <v>0</v>
      </c>
      <c r="U284" s="379">
        <f t="shared" si="233"/>
        <v>0</v>
      </c>
      <c r="V284" s="379">
        <f t="shared" si="234"/>
        <v>0</v>
      </c>
      <c r="W284" s="379">
        <f t="shared" si="235"/>
        <v>0</v>
      </c>
      <c r="X284" s="379">
        <f t="shared" si="236"/>
        <v>0</v>
      </c>
      <c r="Y284" s="379">
        <f t="shared" si="237"/>
        <v>0</v>
      </c>
      <c r="Z284" s="379">
        <f t="shared" si="238"/>
        <v>0</v>
      </c>
      <c r="AA284" s="379">
        <f t="shared" si="239"/>
        <v>0</v>
      </c>
      <c r="AB284" s="379">
        <f t="shared" si="240"/>
        <v>0</v>
      </c>
      <c r="AC284" s="379">
        <f t="shared" si="241"/>
        <v>0</v>
      </c>
      <c r="AD284" s="379">
        <f t="shared" si="242"/>
        <v>0</v>
      </c>
      <c r="AE284" s="379">
        <f t="shared" si="243"/>
        <v>0</v>
      </c>
      <c r="AF284" s="379">
        <f t="shared" si="244"/>
        <v>0</v>
      </c>
      <c r="AG284" s="379">
        <f t="shared" si="245"/>
        <v>0</v>
      </c>
      <c r="AH284" s="379">
        <f t="shared" si="246"/>
        <v>0</v>
      </c>
      <c r="AI284" s="379">
        <f t="shared" si="247"/>
        <v>0</v>
      </c>
      <c r="AJ284" s="379">
        <f t="shared" si="248"/>
        <v>0</v>
      </c>
      <c r="AK284" s="379">
        <f t="shared" si="249"/>
        <v>0</v>
      </c>
      <c r="AL284" s="379">
        <f t="shared" si="250"/>
        <v>0</v>
      </c>
      <c r="AM284" s="379">
        <f t="shared" si="251"/>
        <v>0</v>
      </c>
      <c r="AN284" s="490">
        <f t="shared" si="252"/>
        <v>0</v>
      </c>
      <c r="AO284" s="379">
        <f t="shared" si="253"/>
        <v>0</v>
      </c>
      <c r="AP284" s="379">
        <f t="shared" si="254"/>
        <v>0</v>
      </c>
      <c r="AQ284" s="379">
        <f t="shared" si="255"/>
        <v>0</v>
      </c>
      <c r="AR284" s="379">
        <f t="shared" si="256"/>
        <v>0</v>
      </c>
      <c r="AS284" s="379">
        <f t="shared" si="257"/>
        <v>0</v>
      </c>
      <c r="AT284" s="379">
        <f t="shared" si="258"/>
        <v>0</v>
      </c>
      <c r="AU284" s="379">
        <f t="shared" si="259"/>
        <v>0</v>
      </c>
      <c r="AV284" s="379">
        <f t="shared" si="260"/>
        <v>0</v>
      </c>
      <c r="AW284" s="379">
        <f t="shared" si="261"/>
        <v>0</v>
      </c>
      <c r="AX284" s="379">
        <f t="shared" si="262"/>
        <v>0</v>
      </c>
      <c r="AY284" s="379">
        <f t="shared" si="263"/>
        <v>0</v>
      </c>
    </row>
    <row r="285" spans="1:51" x14ac:dyDescent="0.2">
      <c r="A285" s="376">
        <v>16490</v>
      </c>
      <c r="B285" s="378" t="str">
        <f t="shared" si="216"/>
        <v>Queanbeyan-Palerang Regional (A)</v>
      </c>
      <c r="C285" s="377" t="str">
        <f t="shared" si="217"/>
        <v>CBRJO</v>
      </c>
      <c r="D285" s="503" t="str">
        <f t="shared" si="218"/>
        <v>N</v>
      </c>
      <c r="E285" s="503"/>
      <c r="F285"/>
      <c r="G285" s="379">
        <f t="shared" si="219"/>
        <v>57334</v>
      </c>
      <c r="H285" s="379">
        <f t="shared" si="220"/>
        <v>24271</v>
      </c>
      <c r="I285" s="379">
        <f t="shared" si="221"/>
        <v>300</v>
      </c>
      <c r="J285" s="379" t="str">
        <f t="shared" si="222"/>
        <v>Y</v>
      </c>
      <c r="K285" s="379">
        <f t="shared" si="223"/>
        <v>19728</v>
      </c>
      <c r="L285" s="379">
        <f t="shared" si="224"/>
        <v>0</v>
      </c>
      <c r="M285" s="379">
        <f t="shared" si="225"/>
        <v>21709</v>
      </c>
      <c r="N285" s="379">
        <f t="shared" si="226"/>
        <v>13947</v>
      </c>
      <c r="O285" s="379">
        <f t="shared" si="227"/>
        <v>2082</v>
      </c>
      <c r="P285" s="379" t="str">
        <f t="shared" si="228"/>
        <v>Y</v>
      </c>
      <c r="Q285" s="379" t="str">
        <f t="shared" si="229"/>
        <v>Y</v>
      </c>
      <c r="R285" s="379" t="str">
        <f t="shared" si="230"/>
        <v>Waste Minimisation Centre</v>
      </c>
      <c r="S285" s="379" t="str">
        <f t="shared" si="231"/>
        <v>Bungendore Resource Recovery Centre</v>
      </c>
      <c r="T285" s="379" t="str">
        <f t="shared" si="232"/>
        <v>Macs Reef Waste Transfer Station</v>
      </c>
      <c r="U285" s="379" t="str">
        <f t="shared" si="233"/>
        <v>Braidwood Landfill</v>
      </c>
      <c r="V285" s="379" t="str">
        <f t="shared" si="234"/>
        <v>Captains Flat Waste Transfer Station</v>
      </c>
      <c r="W285" s="379" t="str">
        <f t="shared" si="235"/>
        <v>Nerriga Landfill</v>
      </c>
      <c r="X285" s="379">
        <f t="shared" si="236"/>
        <v>0</v>
      </c>
      <c r="Y285" s="379">
        <f t="shared" si="237"/>
        <v>0</v>
      </c>
      <c r="Z285" s="379">
        <f t="shared" si="238"/>
        <v>0</v>
      </c>
      <c r="AA285" s="379">
        <f t="shared" si="239"/>
        <v>0</v>
      </c>
      <c r="AB285" s="379">
        <f t="shared" si="240"/>
        <v>0</v>
      </c>
      <c r="AC285" s="379">
        <f t="shared" si="241"/>
        <v>0</v>
      </c>
      <c r="AD285" s="379">
        <f t="shared" si="242"/>
        <v>0</v>
      </c>
      <c r="AE285" s="379">
        <f t="shared" si="243"/>
        <v>0</v>
      </c>
      <c r="AF285" s="379">
        <f t="shared" si="244"/>
        <v>0</v>
      </c>
      <c r="AG285" s="379">
        <f t="shared" si="245"/>
        <v>0</v>
      </c>
      <c r="AH285" s="379">
        <f t="shared" si="246"/>
        <v>0</v>
      </c>
      <c r="AI285" s="379">
        <f t="shared" si="247"/>
        <v>0</v>
      </c>
      <c r="AJ285" s="379">
        <f t="shared" si="248"/>
        <v>0</v>
      </c>
      <c r="AK285" s="379">
        <f t="shared" si="249"/>
        <v>0</v>
      </c>
      <c r="AL285" s="379">
        <f t="shared" si="250"/>
        <v>0</v>
      </c>
      <c r="AM285" s="379">
        <f t="shared" si="251"/>
        <v>0</v>
      </c>
      <c r="AN285" s="490">
        <f t="shared" si="252"/>
        <v>0</v>
      </c>
      <c r="AO285" s="379">
        <f t="shared" si="253"/>
        <v>0</v>
      </c>
      <c r="AP285" s="379">
        <f t="shared" si="254"/>
        <v>0</v>
      </c>
      <c r="AQ285" s="379">
        <f t="shared" si="255"/>
        <v>0</v>
      </c>
      <c r="AR285" s="379">
        <f t="shared" si="256"/>
        <v>0</v>
      </c>
      <c r="AS285" s="379">
        <f t="shared" si="257"/>
        <v>0</v>
      </c>
      <c r="AT285" s="379">
        <f t="shared" si="258"/>
        <v>0</v>
      </c>
      <c r="AU285" s="379">
        <f t="shared" si="259"/>
        <v>0</v>
      </c>
      <c r="AV285" s="379">
        <f t="shared" si="260"/>
        <v>0</v>
      </c>
      <c r="AW285" s="379">
        <f t="shared" si="261"/>
        <v>0</v>
      </c>
      <c r="AX285" s="379">
        <f t="shared" si="262"/>
        <v>0</v>
      </c>
      <c r="AY285" s="379">
        <f t="shared" si="263"/>
        <v>0</v>
      </c>
    </row>
    <row r="286" spans="1:51" x14ac:dyDescent="0.2">
      <c r="A286" s="376">
        <v>17040</v>
      </c>
      <c r="B286" s="378" t="str">
        <f t="shared" si="216"/>
        <v>Snowy Monaro Regional (A)</v>
      </c>
      <c r="C286" s="377" t="str">
        <f t="shared" si="217"/>
        <v>CBRJO</v>
      </c>
      <c r="D286" s="503" t="str">
        <f t="shared" si="218"/>
        <v>N</v>
      </c>
      <c r="E286" s="503"/>
      <c r="F286"/>
      <c r="G286" s="379">
        <f t="shared" si="219"/>
        <v>20880</v>
      </c>
      <c r="H286" s="379">
        <f t="shared" si="220"/>
        <v>8432</v>
      </c>
      <c r="I286" s="379">
        <f t="shared" si="221"/>
        <v>339</v>
      </c>
      <c r="J286" s="379" t="str">
        <f t="shared" si="222"/>
        <v>Y</v>
      </c>
      <c r="K286" s="379">
        <f t="shared" si="223"/>
        <v>4204</v>
      </c>
      <c r="L286" s="379">
        <f t="shared" si="224"/>
        <v>0</v>
      </c>
      <c r="M286" s="379">
        <f t="shared" si="225"/>
        <v>7364</v>
      </c>
      <c r="N286" s="379">
        <f t="shared" si="226"/>
        <v>0</v>
      </c>
      <c r="O286" s="379">
        <f t="shared" si="227"/>
        <v>3100</v>
      </c>
      <c r="P286" s="379">
        <f t="shared" si="228"/>
        <v>0</v>
      </c>
      <c r="Q286" s="379" t="str">
        <f t="shared" si="229"/>
        <v>Y</v>
      </c>
      <c r="R286" s="379" t="str">
        <f t="shared" si="230"/>
        <v>Bombala Waste Depot</v>
      </c>
      <c r="S286" s="379" t="str">
        <f t="shared" si="231"/>
        <v>Delegate Waste Depot</v>
      </c>
      <c r="T286" s="379" t="str">
        <f t="shared" si="232"/>
        <v>Cathcart Transfer Station</v>
      </c>
      <c r="U286" s="379" t="str">
        <f t="shared" si="233"/>
        <v>Jindabyne Regional Was</v>
      </c>
      <c r="V286" s="379" t="str">
        <f t="shared" si="234"/>
        <v>Adaminaby Landfill</v>
      </c>
      <c r="W286" s="379" t="str">
        <f t="shared" si="235"/>
        <v>Berridale Transfer Station</v>
      </c>
      <c r="X286" s="379">
        <f t="shared" si="236"/>
        <v>0</v>
      </c>
      <c r="Y286" s="379">
        <f t="shared" si="237"/>
        <v>0</v>
      </c>
      <c r="Z286" s="379">
        <f t="shared" si="238"/>
        <v>0</v>
      </c>
      <c r="AA286" s="379">
        <f t="shared" si="239"/>
        <v>0</v>
      </c>
      <c r="AB286" s="379">
        <f t="shared" si="240"/>
        <v>0</v>
      </c>
      <c r="AC286" s="379">
        <f t="shared" si="241"/>
        <v>0</v>
      </c>
      <c r="AD286" s="379">
        <f t="shared" si="242"/>
        <v>0</v>
      </c>
      <c r="AE286" s="379">
        <f t="shared" si="243"/>
        <v>0</v>
      </c>
      <c r="AF286" s="379">
        <f t="shared" si="244"/>
        <v>0</v>
      </c>
      <c r="AG286" s="379">
        <f t="shared" si="245"/>
        <v>0</v>
      </c>
      <c r="AH286" s="379">
        <f t="shared" si="246"/>
        <v>0</v>
      </c>
      <c r="AI286" s="379">
        <f t="shared" si="247"/>
        <v>0</v>
      </c>
      <c r="AJ286" s="379">
        <f t="shared" si="248"/>
        <v>0</v>
      </c>
      <c r="AK286" s="379">
        <f t="shared" si="249"/>
        <v>0</v>
      </c>
      <c r="AL286" s="379">
        <f t="shared" si="250"/>
        <v>0</v>
      </c>
      <c r="AM286" s="379">
        <f t="shared" si="251"/>
        <v>0</v>
      </c>
      <c r="AN286" s="490">
        <f t="shared" si="252"/>
        <v>0</v>
      </c>
      <c r="AO286" s="379">
        <f t="shared" si="253"/>
        <v>0</v>
      </c>
      <c r="AP286" s="379">
        <f t="shared" si="254"/>
        <v>0</v>
      </c>
      <c r="AQ286" s="379">
        <f t="shared" si="255"/>
        <v>0</v>
      </c>
      <c r="AR286" s="379">
        <f t="shared" si="256"/>
        <v>0</v>
      </c>
      <c r="AS286" s="379">
        <f t="shared" si="257"/>
        <v>0</v>
      </c>
      <c r="AT286" s="379">
        <f t="shared" si="258"/>
        <v>0</v>
      </c>
      <c r="AU286" s="379">
        <f t="shared" si="259"/>
        <v>0</v>
      </c>
      <c r="AV286" s="379">
        <f t="shared" si="260"/>
        <v>0</v>
      </c>
      <c r="AW286" s="379">
        <f t="shared" si="261"/>
        <v>0</v>
      </c>
      <c r="AX286" s="379">
        <f t="shared" si="262"/>
        <v>0</v>
      </c>
      <c r="AY286" s="379">
        <f t="shared" si="263"/>
        <v>0</v>
      </c>
    </row>
    <row r="287" spans="1:51" x14ac:dyDescent="0.2">
      <c r="A287" s="376">
        <v>17080</v>
      </c>
      <c r="B287" s="378" t="str">
        <f t="shared" si="216"/>
        <v>Snowy Valleys (A)</v>
      </c>
      <c r="C287" s="377" t="str">
        <f t="shared" si="217"/>
        <v>REROC</v>
      </c>
      <c r="D287" s="503" t="str">
        <f t="shared" si="218"/>
        <v>N</v>
      </c>
      <c r="E287" s="503"/>
      <c r="F287"/>
      <c r="G287" s="379">
        <f t="shared" si="219"/>
        <v>15013</v>
      </c>
      <c r="H287" s="379">
        <f t="shared" si="220"/>
        <v>5752</v>
      </c>
      <c r="I287" s="379">
        <f t="shared" si="221"/>
        <v>399</v>
      </c>
      <c r="J287" s="379" t="str">
        <f t="shared" si="222"/>
        <v>Y</v>
      </c>
      <c r="K287" s="379">
        <f t="shared" si="223"/>
        <v>5650</v>
      </c>
      <c r="L287" s="379">
        <f t="shared" si="224"/>
        <v>0</v>
      </c>
      <c r="M287" s="379">
        <f t="shared" si="225"/>
        <v>5678</v>
      </c>
      <c r="N287" s="379">
        <f t="shared" si="226"/>
        <v>0</v>
      </c>
      <c r="O287" s="379">
        <f t="shared" si="227"/>
        <v>0</v>
      </c>
      <c r="P287" s="379">
        <f t="shared" si="228"/>
        <v>0</v>
      </c>
      <c r="Q287" s="379" t="str">
        <f t="shared" si="229"/>
        <v>Y</v>
      </c>
      <c r="R287" s="379" t="str">
        <f t="shared" si="230"/>
        <v>Tumut</v>
      </c>
      <c r="S287" s="379" t="str">
        <f t="shared" si="231"/>
        <v>Adelong</v>
      </c>
      <c r="T287" s="379" t="str">
        <f t="shared" si="232"/>
        <v>Talbingo</v>
      </c>
      <c r="U287" s="379">
        <f t="shared" si="233"/>
        <v>0</v>
      </c>
      <c r="V287" s="379">
        <f t="shared" si="234"/>
        <v>0</v>
      </c>
      <c r="W287" s="379">
        <f t="shared" si="235"/>
        <v>0</v>
      </c>
      <c r="X287" s="379">
        <f t="shared" si="236"/>
        <v>0</v>
      </c>
      <c r="Y287" s="379">
        <f t="shared" si="237"/>
        <v>0</v>
      </c>
      <c r="Z287" s="379">
        <f t="shared" si="238"/>
        <v>0</v>
      </c>
      <c r="AA287" s="379">
        <f t="shared" si="239"/>
        <v>0</v>
      </c>
      <c r="AB287" s="379">
        <f t="shared" si="240"/>
        <v>0</v>
      </c>
      <c r="AC287" s="379">
        <f t="shared" si="241"/>
        <v>0</v>
      </c>
      <c r="AD287" s="379">
        <f t="shared" si="242"/>
        <v>0</v>
      </c>
      <c r="AE287" s="379">
        <f t="shared" si="243"/>
        <v>0</v>
      </c>
      <c r="AF287" s="379">
        <f t="shared" si="244"/>
        <v>0</v>
      </c>
      <c r="AG287" s="379">
        <f t="shared" si="245"/>
        <v>0</v>
      </c>
      <c r="AH287" s="379">
        <f t="shared" si="246"/>
        <v>0</v>
      </c>
      <c r="AI287" s="379">
        <f t="shared" si="247"/>
        <v>0</v>
      </c>
      <c r="AJ287" s="379">
        <f t="shared" si="248"/>
        <v>0</v>
      </c>
      <c r="AK287" s="379">
        <f t="shared" si="249"/>
        <v>0</v>
      </c>
      <c r="AL287" s="379">
        <f t="shared" si="250"/>
        <v>0</v>
      </c>
      <c r="AM287" s="379">
        <f t="shared" si="251"/>
        <v>0</v>
      </c>
      <c r="AN287" s="490">
        <f t="shared" si="252"/>
        <v>0</v>
      </c>
      <c r="AO287" s="379">
        <f t="shared" si="253"/>
        <v>0</v>
      </c>
      <c r="AP287" s="379">
        <f t="shared" si="254"/>
        <v>0</v>
      </c>
      <c r="AQ287" s="379">
        <f t="shared" si="255"/>
        <v>0</v>
      </c>
      <c r="AR287" s="379">
        <f t="shared" si="256"/>
        <v>0</v>
      </c>
      <c r="AS287" s="379">
        <f t="shared" si="257"/>
        <v>0</v>
      </c>
      <c r="AT287" s="379">
        <f t="shared" si="258"/>
        <v>0</v>
      </c>
      <c r="AU287" s="379">
        <f t="shared" si="259"/>
        <v>0</v>
      </c>
      <c r="AV287" s="379">
        <f t="shared" si="260"/>
        <v>0</v>
      </c>
      <c r="AW287" s="379">
        <f t="shared" si="261"/>
        <v>0</v>
      </c>
      <c r="AX287" s="379">
        <f t="shared" si="262"/>
        <v>0</v>
      </c>
      <c r="AY287" s="379">
        <f t="shared" si="263"/>
        <v>0</v>
      </c>
    </row>
    <row r="288" spans="1:51" x14ac:dyDescent="0.2">
      <c r="A288" s="376">
        <v>17310</v>
      </c>
      <c r="B288" s="378" t="str">
        <f t="shared" si="216"/>
        <v>Tamworth Regional (A)</v>
      </c>
      <c r="C288" s="377" t="str">
        <f t="shared" si="217"/>
        <v>NIRW</v>
      </c>
      <c r="D288" s="503" t="str">
        <f t="shared" si="218"/>
        <v>N</v>
      </c>
      <c r="E288" s="503"/>
      <c r="F288"/>
      <c r="G288" s="379">
        <f t="shared" si="219"/>
        <v>61800</v>
      </c>
      <c r="H288" s="379">
        <f t="shared" si="220"/>
        <v>23846</v>
      </c>
      <c r="I288" s="379">
        <f t="shared" si="221"/>
        <v>295</v>
      </c>
      <c r="J288" s="379" t="str">
        <f t="shared" si="222"/>
        <v>Y</v>
      </c>
      <c r="K288" s="379">
        <f t="shared" si="223"/>
        <v>25354</v>
      </c>
      <c r="L288" s="379">
        <f t="shared" si="224"/>
        <v>0</v>
      </c>
      <c r="M288" s="379">
        <f t="shared" si="225"/>
        <v>23846</v>
      </c>
      <c r="N288" s="379">
        <f t="shared" si="226"/>
        <v>22338</v>
      </c>
      <c r="O288" s="379">
        <f t="shared" si="227"/>
        <v>0</v>
      </c>
      <c r="P288" s="379" t="str">
        <f t="shared" si="228"/>
        <v>Y</v>
      </c>
      <c r="Q288" s="379" t="str">
        <f t="shared" si="229"/>
        <v>Y</v>
      </c>
      <c r="R288" s="379" t="str">
        <f t="shared" si="230"/>
        <v>Forest Road Waste Management Facility</v>
      </c>
      <c r="S288" s="379" t="str">
        <f t="shared" si="231"/>
        <v>Barraba Landfill</v>
      </c>
      <c r="T288" s="379" t="str">
        <f t="shared" si="232"/>
        <v>Duri Landfill</v>
      </c>
      <c r="U288" s="379" t="str">
        <f t="shared" si="233"/>
        <v>Manilla Landfill</v>
      </c>
      <c r="V288" s="379" t="str">
        <f t="shared" si="234"/>
        <v>Nundle Landfill</v>
      </c>
      <c r="W288" s="379" t="str">
        <f t="shared" si="235"/>
        <v>Kootingal, Niangala, Watsons Creek, Bendemeer, Dungowan</v>
      </c>
      <c r="X288" s="379">
        <f t="shared" si="236"/>
        <v>0</v>
      </c>
      <c r="Y288" s="379">
        <f t="shared" si="237"/>
        <v>0</v>
      </c>
      <c r="Z288" s="379">
        <f t="shared" si="238"/>
        <v>0</v>
      </c>
      <c r="AA288" s="379">
        <f t="shared" si="239"/>
        <v>0</v>
      </c>
      <c r="AB288" s="379">
        <f t="shared" si="240"/>
        <v>0</v>
      </c>
      <c r="AC288" s="379">
        <f t="shared" si="241"/>
        <v>0</v>
      </c>
      <c r="AD288" s="379">
        <f t="shared" si="242"/>
        <v>0</v>
      </c>
      <c r="AE288" s="379">
        <f t="shared" si="243"/>
        <v>0</v>
      </c>
      <c r="AF288" s="379">
        <f t="shared" si="244"/>
        <v>0</v>
      </c>
      <c r="AG288" s="379">
        <f t="shared" si="245"/>
        <v>0</v>
      </c>
      <c r="AH288" s="379">
        <f t="shared" si="246"/>
        <v>0</v>
      </c>
      <c r="AI288" s="379">
        <f t="shared" si="247"/>
        <v>0</v>
      </c>
      <c r="AJ288" s="379">
        <f t="shared" si="248"/>
        <v>0</v>
      </c>
      <c r="AK288" s="379">
        <f t="shared" si="249"/>
        <v>0</v>
      </c>
      <c r="AL288" s="379">
        <f t="shared" si="250"/>
        <v>0</v>
      </c>
      <c r="AM288" s="379">
        <f t="shared" si="251"/>
        <v>0</v>
      </c>
      <c r="AN288" s="490">
        <f t="shared" si="252"/>
        <v>0</v>
      </c>
      <c r="AO288" s="379">
        <f t="shared" si="253"/>
        <v>0</v>
      </c>
      <c r="AP288" s="379">
        <f t="shared" si="254"/>
        <v>0</v>
      </c>
      <c r="AQ288" s="379">
        <f t="shared" si="255"/>
        <v>0</v>
      </c>
      <c r="AR288" s="379">
        <f t="shared" si="256"/>
        <v>0</v>
      </c>
      <c r="AS288" s="379">
        <f t="shared" si="257"/>
        <v>0</v>
      </c>
      <c r="AT288" s="379">
        <f t="shared" si="258"/>
        <v>0</v>
      </c>
      <c r="AU288" s="379">
        <f t="shared" si="259"/>
        <v>0</v>
      </c>
      <c r="AV288" s="379">
        <f t="shared" si="260"/>
        <v>0</v>
      </c>
      <c r="AW288" s="379">
        <f t="shared" si="261"/>
        <v>0</v>
      </c>
      <c r="AX288" s="379">
        <f t="shared" si="262"/>
        <v>0</v>
      </c>
      <c r="AY288" s="379">
        <f t="shared" si="263"/>
        <v>0</v>
      </c>
    </row>
    <row r="289" spans="1:51" x14ac:dyDescent="0.2">
      <c r="A289" s="376">
        <v>17350</v>
      </c>
      <c r="B289" s="378" t="str">
        <f t="shared" si="216"/>
        <v>Temora (A)</v>
      </c>
      <c r="C289" s="377" t="str">
        <f t="shared" si="217"/>
        <v>REROC</v>
      </c>
      <c r="D289" s="503" t="str">
        <f t="shared" si="218"/>
        <v>N</v>
      </c>
      <c r="E289" s="503"/>
      <c r="F289"/>
      <c r="G289" s="379">
        <f t="shared" si="219"/>
        <v>6088</v>
      </c>
      <c r="H289" s="379">
        <f t="shared" si="220"/>
        <v>3689</v>
      </c>
      <c r="I289" s="379">
        <f t="shared" si="221"/>
        <v>212</v>
      </c>
      <c r="J289" s="379" t="str">
        <f t="shared" si="222"/>
        <v>Y</v>
      </c>
      <c r="K289" s="379">
        <f t="shared" si="223"/>
        <v>2198</v>
      </c>
      <c r="L289" s="379">
        <f t="shared" si="224"/>
        <v>0</v>
      </c>
      <c r="M289" s="379">
        <f t="shared" si="225"/>
        <v>0</v>
      </c>
      <c r="N289" s="379">
        <f t="shared" si="226"/>
        <v>0</v>
      </c>
      <c r="O289" s="379">
        <f t="shared" si="227"/>
        <v>0</v>
      </c>
      <c r="P289" s="379" t="str">
        <f t="shared" si="228"/>
        <v>Y</v>
      </c>
      <c r="Q289" s="379" t="str">
        <f t="shared" si="229"/>
        <v>Y</v>
      </c>
      <c r="R289" s="379" t="str">
        <f t="shared" si="230"/>
        <v>Teal St Landfill</v>
      </c>
      <c r="S289" s="379" t="str">
        <f t="shared" si="231"/>
        <v>Lions Club</v>
      </c>
      <c r="T289" s="379">
        <f t="shared" si="232"/>
        <v>0</v>
      </c>
      <c r="U289" s="379">
        <f t="shared" si="233"/>
        <v>0</v>
      </c>
      <c r="V289" s="379">
        <f t="shared" si="234"/>
        <v>0</v>
      </c>
      <c r="W289" s="379">
        <f t="shared" si="235"/>
        <v>0</v>
      </c>
      <c r="X289" s="379">
        <f t="shared" si="236"/>
        <v>0</v>
      </c>
      <c r="Y289" s="379">
        <f t="shared" si="237"/>
        <v>0</v>
      </c>
      <c r="Z289" s="379">
        <f t="shared" si="238"/>
        <v>0</v>
      </c>
      <c r="AA289" s="379">
        <f t="shared" si="239"/>
        <v>0</v>
      </c>
      <c r="AB289" s="379">
        <f t="shared" si="240"/>
        <v>0</v>
      </c>
      <c r="AC289" s="379">
        <f t="shared" si="241"/>
        <v>0</v>
      </c>
      <c r="AD289" s="379">
        <f t="shared" si="242"/>
        <v>0</v>
      </c>
      <c r="AE289" s="379">
        <f t="shared" si="243"/>
        <v>0</v>
      </c>
      <c r="AF289" s="379">
        <f t="shared" si="244"/>
        <v>0</v>
      </c>
      <c r="AG289" s="379">
        <f t="shared" si="245"/>
        <v>0</v>
      </c>
      <c r="AH289" s="379">
        <f t="shared" si="246"/>
        <v>0</v>
      </c>
      <c r="AI289" s="379">
        <f t="shared" si="247"/>
        <v>0</v>
      </c>
      <c r="AJ289" s="379">
        <f t="shared" si="248"/>
        <v>0</v>
      </c>
      <c r="AK289" s="379">
        <f t="shared" si="249"/>
        <v>0</v>
      </c>
      <c r="AL289" s="379">
        <f t="shared" si="250"/>
        <v>0</v>
      </c>
      <c r="AM289" s="379">
        <f t="shared" si="251"/>
        <v>0</v>
      </c>
      <c r="AN289" s="490">
        <f t="shared" si="252"/>
        <v>0</v>
      </c>
      <c r="AO289" s="379">
        <f t="shared" si="253"/>
        <v>0</v>
      </c>
      <c r="AP289" s="379">
        <f t="shared" si="254"/>
        <v>0</v>
      </c>
      <c r="AQ289" s="379">
        <f t="shared" si="255"/>
        <v>0</v>
      </c>
      <c r="AR289" s="379">
        <f t="shared" si="256"/>
        <v>0</v>
      </c>
      <c r="AS289" s="379">
        <f t="shared" si="257"/>
        <v>0</v>
      </c>
      <c r="AT289" s="379">
        <f t="shared" si="258"/>
        <v>0</v>
      </c>
      <c r="AU289" s="379">
        <f t="shared" si="259"/>
        <v>0</v>
      </c>
      <c r="AV289" s="379">
        <f t="shared" si="260"/>
        <v>0</v>
      </c>
      <c r="AW289" s="379">
        <f t="shared" si="261"/>
        <v>0</v>
      </c>
      <c r="AX289" s="379">
        <f t="shared" si="262"/>
        <v>0</v>
      </c>
      <c r="AY289" s="379">
        <f t="shared" si="263"/>
        <v>0</v>
      </c>
    </row>
    <row r="290" spans="1:51" x14ac:dyDescent="0.2">
      <c r="A290" s="376">
        <v>17400</v>
      </c>
      <c r="B290" s="378" t="str">
        <f t="shared" si="216"/>
        <v>Tenterfield (A)</v>
      </c>
      <c r="C290" s="377" t="str">
        <f t="shared" si="217"/>
        <v>NIRW</v>
      </c>
      <c r="D290" s="503" t="str">
        <f t="shared" si="218"/>
        <v>N</v>
      </c>
      <c r="E290" s="503"/>
      <c r="F290"/>
      <c r="G290" s="379">
        <f t="shared" si="219"/>
        <v>7038</v>
      </c>
      <c r="H290" s="379">
        <f t="shared" si="220"/>
        <v>4547</v>
      </c>
      <c r="I290" s="379">
        <f t="shared" si="221"/>
        <v>327</v>
      </c>
      <c r="J290" s="379" t="str">
        <f t="shared" si="222"/>
        <v>Y</v>
      </c>
      <c r="K290" s="379">
        <f t="shared" si="223"/>
        <v>2163</v>
      </c>
      <c r="L290" s="379">
        <f t="shared" si="224"/>
        <v>0</v>
      </c>
      <c r="M290" s="379">
        <f t="shared" si="225"/>
        <v>1934</v>
      </c>
      <c r="N290" s="379">
        <f t="shared" si="226"/>
        <v>0</v>
      </c>
      <c r="O290" s="379">
        <f t="shared" si="227"/>
        <v>0</v>
      </c>
      <c r="P290" s="379">
        <f t="shared" si="228"/>
        <v>0</v>
      </c>
      <c r="Q290" s="379" t="str">
        <f t="shared" si="229"/>
        <v>Y</v>
      </c>
      <c r="R290" s="379" t="str">
        <f t="shared" si="230"/>
        <v>Tenterfield WTS</v>
      </c>
      <c r="S290" s="379" t="str">
        <f t="shared" si="231"/>
        <v>Drake WTS</v>
      </c>
      <c r="T290" s="379" t="str">
        <f t="shared" si="232"/>
        <v>Urbenville WTS</v>
      </c>
      <c r="U290" s="379" t="str">
        <f t="shared" si="233"/>
        <v>Liston WTS</v>
      </c>
      <c r="V290" s="379" t="str">
        <f t="shared" si="234"/>
        <v>Legume WTS</v>
      </c>
      <c r="W290" s="379">
        <f t="shared" si="235"/>
        <v>0</v>
      </c>
      <c r="X290" s="379">
        <f t="shared" si="236"/>
        <v>0</v>
      </c>
      <c r="Y290" s="379">
        <f t="shared" si="237"/>
        <v>0</v>
      </c>
      <c r="Z290" s="379">
        <f t="shared" si="238"/>
        <v>0</v>
      </c>
      <c r="AA290" s="379">
        <f t="shared" si="239"/>
        <v>0</v>
      </c>
      <c r="AB290" s="379">
        <f t="shared" si="240"/>
        <v>0</v>
      </c>
      <c r="AC290" s="379">
        <f t="shared" si="241"/>
        <v>0</v>
      </c>
      <c r="AD290" s="379">
        <f t="shared" si="242"/>
        <v>0</v>
      </c>
      <c r="AE290" s="379">
        <f t="shared" si="243"/>
        <v>0</v>
      </c>
      <c r="AF290" s="379">
        <f t="shared" si="244"/>
        <v>0</v>
      </c>
      <c r="AG290" s="379">
        <f t="shared" si="245"/>
        <v>0</v>
      </c>
      <c r="AH290" s="379">
        <f t="shared" si="246"/>
        <v>0</v>
      </c>
      <c r="AI290" s="379">
        <f t="shared" si="247"/>
        <v>0</v>
      </c>
      <c r="AJ290" s="379">
        <f t="shared" si="248"/>
        <v>0</v>
      </c>
      <c r="AK290" s="379">
        <f t="shared" si="249"/>
        <v>0</v>
      </c>
      <c r="AL290" s="379">
        <f t="shared" si="250"/>
        <v>0</v>
      </c>
      <c r="AM290" s="379">
        <f t="shared" si="251"/>
        <v>0</v>
      </c>
      <c r="AN290" s="490">
        <f t="shared" si="252"/>
        <v>0</v>
      </c>
      <c r="AO290" s="379">
        <f t="shared" si="253"/>
        <v>0</v>
      </c>
      <c r="AP290" s="379">
        <f t="shared" si="254"/>
        <v>0</v>
      </c>
      <c r="AQ290" s="379">
        <f t="shared" si="255"/>
        <v>0</v>
      </c>
      <c r="AR290" s="379">
        <f t="shared" si="256"/>
        <v>0</v>
      </c>
      <c r="AS290" s="379">
        <f t="shared" si="257"/>
        <v>0</v>
      </c>
      <c r="AT290" s="379">
        <f t="shared" si="258"/>
        <v>0</v>
      </c>
      <c r="AU290" s="379">
        <f t="shared" si="259"/>
        <v>0</v>
      </c>
      <c r="AV290" s="379">
        <f t="shared" si="260"/>
        <v>0</v>
      </c>
      <c r="AW290" s="379">
        <f t="shared" si="261"/>
        <v>0</v>
      </c>
      <c r="AX290" s="379">
        <f t="shared" si="262"/>
        <v>0</v>
      </c>
      <c r="AY290" s="379">
        <f t="shared" si="263"/>
        <v>0</v>
      </c>
    </row>
    <row r="291" spans="1:51" x14ac:dyDescent="0.2">
      <c r="A291" s="376">
        <v>17640</v>
      </c>
      <c r="B291" s="378" t="str">
        <f t="shared" si="216"/>
        <v>Upper Lachlan Shire (A)</v>
      </c>
      <c r="C291" s="377" t="str">
        <f t="shared" si="217"/>
        <v>CBRJO</v>
      </c>
      <c r="D291" s="503" t="str">
        <f t="shared" si="218"/>
        <v>N</v>
      </c>
      <c r="E291" s="503"/>
      <c r="F291"/>
      <c r="G291" s="379">
        <f t="shared" si="219"/>
        <v>7794</v>
      </c>
      <c r="H291" s="379">
        <f t="shared" si="220"/>
        <v>2440</v>
      </c>
      <c r="I291" s="379">
        <f t="shared" si="221"/>
        <v>417</v>
      </c>
      <c r="J291" s="379" t="str">
        <f t="shared" si="222"/>
        <v>Y</v>
      </c>
      <c r="K291" s="379">
        <f t="shared" si="223"/>
        <v>1995</v>
      </c>
      <c r="L291" s="379">
        <f t="shared" si="224"/>
        <v>0</v>
      </c>
      <c r="M291" s="379">
        <f t="shared" si="225"/>
        <v>1995</v>
      </c>
      <c r="N291" s="379">
        <f t="shared" si="226"/>
        <v>0</v>
      </c>
      <c r="O291" s="379">
        <f t="shared" si="227"/>
        <v>0</v>
      </c>
      <c r="P291" s="379">
        <f t="shared" si="228"/>
        <v>0</v>
      </c>
      <c r="Q291" s="379" t="str">
        <f t="shared" si="229"/>
        <v>Y</v>
      </c>
      <c r="R291" s="379" t="str">
        <f t="shared" si="230"/>
        <v>Crookwell Landfill</v>
      </c>
      <c r="S291" s="379" t="str">
        <f t="shared" si="231"/>
        <v>Gunning Landfill</v>
      </c>
      <c r="T291" s="379" t="str">
        <f t="shared" si="232"/>
        <v>Taralga Trasnfer Station</v>
      </c>
      <c r="U291" s="379" t="str">
        <f t="shared" si="233"/>
        <v>Collector Transfer Station</v>
      </c>
      <c r="V291" s="379" t="str">
        <f t="shared" si="234"/>
        <v>Bigga Landfill</v>
      </c>
      <c r="W291" s="379" t="str">
        <f t="shared" si="235"/>
        <v>Tuena Landfill</v>
      </c>
      <c r="X291" s="379">
        <f t="shared" si="236"/>
        <v>0</v>
      </c>
      <c r="Y291" s="379">
        <f t="shared" si="237"/>
        <v>0</v>
      </c>
      <c r="Z291" s="379">
        <f t="shared" si="238"/>
        <v>0</v>
      </c>
      <c r="AA291" s="379">
        <f t="shared" si="239"/>
        <v>0</v>
      </c>
      <c r="AB291" s="379">
        <f t="shared" si="240"/>
        <v>0</v>
      </c>
      <c r="AC291" s="379">
        <f t="shared" si="241"/>
        <v>0</v>
      </c>
      <c r="AD291" s="379">
        <f t="shared" si="242"/>
        <v>0</v>
      </c>
      <c r="AE291" s="379">
        <f t="shared" si="243"/>
        <v>0</v>
      </c>
      <c r="AF291" s="379">
        <f t="shared" si="244"/>
        <v>0</v>
      </c>
      <c r="AG291" s="379">
        <f t="shared" si="245"/>
        <v>0</v>
      </c>
      <c r="AH291" s="379">
        <f t="shared" si="246"/>
        <v>0</v>
      </c>
      <c r="AI291" s="379">
        <f t="shared" si="247"/>
        <v>0</v>
      </c>
      <c r="AJ291" s="379">
        <f t="shared" si="248"/>
        <v>0</v>
      </c>
      <c r="AK291" s="379">
        <f t="shared" si="249"/>
        <v>0</v>
      </c>
      <c r="AL291" s="379">
        <f t="shared" si="250"/>
        <v>0</v>
      </c>
      <c r="AM291" s="379">
        <f t="shared" si="251"/>
        <v>0</v>
      </c>
      <c r="AN291" s="490">
        <f t="shared" si="252"/>
        <v>0</v>
      </c>
      <c r="AO291" s="379">
        <f t="shared" si="253"/>
        <v>0</v>
      </c>
      <c r="AP291" s="379">
        <f t="shared" si="254"/>
        <v>0</v>
      </c>
      <c r="AQ291" s="379">
        <f t="shared" si="255"/>
        <v>0</v>
      </c>
      <c r="AR291" s="379">
        <f t="shared" si="256"/>
        <v>0</v>
      </c>
      <c r="AS291" s="379">
        <f t="shared" si="257"/>
        <v>0</v>
      </c>
      <c r="AT291" s="379">
        <f t="shared" si="258"/>
        <v>0</v>
      </c>
      <c r="AU291" s="379">
        <f t="shared" si="259"/>
        <v>0</v>
      </c>
      <c r="AV291" s="379">
        <f t="shared" si="260"/>
        <v>0</v>
      </c>
      <c r="AW291" s="379">
        <f t="shared" si="261"/>
        <v>0</v>
      </c>
      <c r="AX291" s="379">
        <f t="shared" si="262"/>
        <v>0</v>
      </c>
      <c r="AY291" s="379">
        <f t="shared" si="263"/>
        <v>0</v>
      </c>
    </row>
    <row r="292" spans="1:51" x14ac:dyDescent="0.2">
      <c r="A292" s="376">
        <v>17650</v>
      </c>
      <c r="B292" s="378" t="str">
        <f t="shared" si="216"/>
        <v>Uralla (A)</v>
      </c>
      <c r="C292" s="377" t="str">
        <f t="shared" si="217"/>
        <v>NIRW</v>
      </c>
      <c r="D292" s="503" t="str">
        <f t="shared" si="218"/>
        <v>N</v>
      </c>
      <c r="E292" s="503"/>
      <c r="F292"/>
      <c r="G292" s="379">
        <f t="shared" si="219"/>
        <v>6376</v>
      </c>
      <c r="H292" s="379">
        <f t="shared" si="220"/>
        <v>2780</v>
      </c>
      <c r="I292" s="379">
        <f t="shared" si="221"/>
        <v>315</v>
      </c>
      <c r="J292" s="379" t="str">
        <f t="shared" si="222"/>
        <v>Y</v>
      </c>
      <c r="K292" s="379">
        <f t="shared" si="223"/>
        <v>1701</v>
      </c>
      <c r="L292" s="379">
        <f t="shared" si="224"/>
        <v>0</v>
      </c>
      <c r="M292" s="379">
        <f t="shared" si="225"/>
        <v>1696</v>
      </c>
      <c r="N292" s="379">
        <f t="shared" si="226"/>
        <v>80</v>
      </c>
      <c r="O292" s="379">
        <f t="shared" si="227"/>
        <v>0</v>
      </c>
      <c r="P292" s="379">
        <f t="shared" si="228"/>
        <v>0</v>
      </c>
      <c r="Q292" s="379">
        <f t="shared" si="229"/>
        <v>0</v>
      </c>
      <c r="R292" s="379">
        <f t="shared" si="230"/>
        <v>0</v>
      </c>
      <c r="S292" s="379">
        <f t="shared" si="231"/>
        <v>0</v>
      </c>
      <c r="T292" s="379">
        <f t="shared" si="232"/>
        <v>0</v>
      </c>
      <c r="U292" s="379">
        <f t="shared" si="233"/>
        <v>0</v>
      </c>
      <c r="V292" s="379">
        <f t="shared" si="234"/>
        <v>0</v>
      </c>
      <c r="W292" s="379">
        <f t="shared" si="235"/>
        <v>0</v>
      </c>
      <c r="X292" s="379">
        <f t="shared" si="236"/>
        <v>0</v>
      </c>
      <c r="Y292" s="379">
        <f t="shared" si="237"/>
        <v>0</v>
      </c>
      <c r="Z292" s="379">
        <f t="shared" si="238"/>
        <v>0</v>
      </c>
      <c r="AA292" s="379">
        <f t="shared" si="239"/>
        <v>0</v>
      </c>
      <c r="AB292" s="379">
        <f t="shared" si="240"/>
        <v>0</v>
      </c>
      <c r="AC292" s="379">
        <f t="shared" si="241"/>
        <v>0</v>
      </c>
      <c r="AD292" s="379">
        <f t="shared" si="242"/>
        <v>0</v>
      </c>
      <c r="AE292" s="379">
        <f t="shared" si="243"/>
        <v>0</v>
      </c>
      <c r="AF292" s="379">
        <f t="shared" si="244"/>
        <v>0</v>
      </c>
      <c r="AG292" s="379">
        <f t="shared" si="245"/>
        <v>0</v>
      </c>
      <c r="AH292" s="379">
        <f t="shared" si="246"/>
        <v>0</v>
      </c>
      <c r="AI292" s="379">
        <f t="shared" si="247"/>
        <v>0</v>
      </c>
      <c r="AJ292" s="379">
        <f t="shared" si="248"/>
        <v>0</v>
      </c>
      <c r="AK292" s="379">
        <f t="shared" si="249"/>
        <v>0</v>
      </c>
      <c r="AL292" s="379">
        <f t="shared" si="250"/>
        <v>0</v>
      </c>
      <c r="AM292" s="379">
        <f t="shared" si="251"/>
        <v>0</v>
      </c>
      <c r="AN292" s="490">
        <f t="shared" si="252"/>
        <v>0</v>
      </c>
      <c r="AO292" s="379">
        <f t="shared" si="253"/>
        <v>0</v>
      </c>
      <c r="AP292" s="379">
        <f t="shared" si="254"/>
        <v>0</v>
      </c>
      <c r="AQ292" s="379">
        <f t="shared" si="255"/>
        <v>0</v>
      </c>
      <c r="AR292" s="379">
        <f t="shared" si="256"/>
        <v>0</v>
      </c>
      <c r="AS292" s="379">
        <f t="shared" si="257"/>
        <v>0</v>
      </c>
      <c r="AT292" s="379">
        <f t="shared" si="258"/>
        <v>0</v>
      </c>
      <c r="AU292" s="379">
        <f t="shared" si="259"/>
        <v>0</v>
      </c>
      <c r="AV292" s="379">
        <f t="shared" si="260"/>
        <v>0</v>
      </c>
      <c r="AW292" s="379">
        <f t="shared" si="261"/>
        <v>0</v>
      </c>
      <c r="AX292" s="379">
        <f t="shared" si="262"/>
        <v>0</v>
      </c>
      <c r="AY292" s="379">
        <f t="shared" si="263"/>
        <v>0</v>
      </c>
    </row>
    <row r="293" spans="1:51" x14ac:dyDescent="0.2">
      <c r="A293" s="376">
        <v>17750</v>
      </c>
      <c r="B293" s="378" t="str">
        <f t="shared" si="216"/>
        <v>Wagga Wagga (C)</v>
      </c>
      <c r="C293" s="377" t="str">
        <f t="shared" si="217"/>
        <v>REROC</v>
      </c>
      <c r="D293" s="503" t="str">
        <f t="shared" si="218"/>
        <v>N</v>
      </c>
      <c r="E293" s="503"/>
      <c r="F293"/>
      <c r="G293" s="379">
        <f t="shared" si="219"/>
        <v>64272</v>
      </c>
      <c r="H293" s="379">
        <f t="shared" si="220"/>
        <v>24260</v>
      </c>
      <c r="I293" s="379">
        <f t="shared" si="221"/>
        <v>303</v>
      </c>
      <c r="J293" s="379" t="str">
        <f t="shared" si="222"/>
        <v>Y</v>
      </c>
      <c r="K293" s="379">
        <f t="shared" si="223"/>
        <v>24260</v>
      </c>
      <c r="L293" s="379">
        <f t="shared" si="224"/>
        <v>0</v>
      </c>
      <c r="M293" s="379">
        <f t="shared" si="225"/>
        <v>24283</v>
      </c>
      <c r="N293" s="379">
        <f t="shared" si="226"/>
        <v>23503</v>
      </c>
      <c r="O293" s="379">
        <f t="shared" si="227"/>
        <v>0</v>
      </c>
      <c r="P293" s="379">
        <f t="shared" si="228"/>
        <v>0</v>
      </c>
      <c r="Q293" s="379" t="str">
        <f t="shared" si="229"/>
        <v>Y</v>
      </c>
      <c r="R293" s="379" t="str">
        <f t="shared" si="230"/>
        <v>Gregadoo Waste Management Centre</v>
      </c>
      <c r="S293" s="379" t="str">
        <f t="shared" si="231"/>
        <v xml:space="preserve">Transfer stations </v>
      </c>
      <c r="T293" s="379">
        <f t="shared" si="232"/>
        <v>0</v>
      </c>
      <c r="U293" s="379">
        <f t="shared" si="233"/>
        <v>0</v>
      </c>
      <c r="V293" s="379">
        <f t="shared" si="234"/>
        <v>0</v>
      </c>
      <c r="W293" s="379">
        <f t="shared" si="235"/>
        <v>0</v>
      </c>
      <c r="X293" s="379">
        <f t="shared" si="236"/>
        <v>0</v>
      </c>
      <c r="Y293" s="379">
        <f t="shared" si="237"/>
        <v>0</v>
      </c>
      <c r="Z293" s="379">
        <f t="shared" si="238"/>
        <v>0</v>
      </c>
      <c r="AA293" s="379">
        <f t="shared" si="239"/>
        <v>0</v>
      </c>
      <c r="AB293" s="379">
        <f t="shared" si="240"/>
        <v>0</v>
      </c>
      <c r="AC293" s="379">
        <f t="shared" si="241"/>
        <v>0</v>
      </c>
      <c r="AD293" s="379">
        <f t="shared" si="242"/>
        <v>0</v>
      </c>
      <c r="AE293" s="379">
        <f t="shared" si="243"/>
        <v>0</v>
      </c>
      <c r="AF293" s="379">
        <f t="shared" si="244"/>
        <v>0</v>
      </c>
      <c r="AG293" s="379">
        <f t="shared" si="245"/>
        <v>0</v>
      </c>
      <c r="AH293" s="379">
        <f t="shared" si="246"/>
        <v>0</v>
      </c>
      <c r="AI293" s="379">
        <f t="shared" si="247"/>
        <v>0</v>
      </c>
      <c r="AJ293" s="379">
        <f t="shared" si="248"/>
        <v>0</v>
      </c>
      <c r="AK293" s="379">
        <f t="shared" si="249"/>
        <v>0</v>
      </c>
      <c r="AL293" s="379">
        <f t="shared" si="250"/>
        <v>0</v>
      </c>
      <c r="AM293" s="379">
        <f t="shared" si="251"/>
        <v>0</v>
      </c>
      <c r="AN293" s="490">
        <f t="shared" si="252"/>
        <v>0</v>
      </c>
      <c r="AO293" s="379">
        <f t="shared" si="253"/>
        <v>0</v>
      </c>
      <c r="AP293" s="379">
        <f t="shared" si="254"/>
        <v>0</v>
      </c>
      <c r="AQ293" s="379">
        <f t="shared" si="255"/>
        <v>0</v>
      </c>
      <c r="AR293" s="379">
        <f t="shared" si="256"/>
        <v>0</v>
      </c>
      <c r="AS293" s="379">
        <f t="shared" si="257"/>
        <v>0</v>
      </c>
      <c r="AT293" s="379">
        <f t="shared" si="258"/>
        <v>0</v>
      </c>
      <c r="AU293" s="379">
        <f t="shared" si="259"/>
        <v>0</v>
      </c>
      <c r="AV293" s="379">
        <f t="shared" si="260"/>
        <v>0</v>
      </c>
      <c r="AW293" s="379">
        <f t="shared" si="261"/>
        <v>0</v>
      </c>
      <c r="AX293" s="379">
        <f t="shared" si="262"/>
        <v>0</v>
      </c>
      <c r="AY293" s="379">
        <f t="shared" si="263"/>
        <v>0</v>
      </c>
    </row>
    <row r="294" spans="1:51" x14ac:dyDescent="0.2">
      <c r="A294" s="376">
        <v>17850</v>
      </c>
      <c r="B294" s="378" t="str">
        <f t="shared" si="216"/>
        <v>Walcha (A)</v>
      </c>
      <c r="C294" s="377" t="str">
        <f t="shared" si="217"/>
        <v>NIRW</v>
      </c>
      <c r="D294" s="503" t="str">
        <f t="shared" si="218"/>
        <v>N</v>
      </c>
      <c r="E294" s="503"/>
      <c r="F294"/>
      <c r="G294" s="379">
        <f t="shared" si="219"/>
        <v>3054</v>
      </c>
      <c r="H294" s="379">
        <f t="shared" si="220"/>
        <v>741</v>
      </c>
      <c r="I294" s="379">
        <f t="shared" si="221"/>
        <v>474</v>
      </c>
      <c r="J294" s="379" t="str">
        <f t="shared" si="222"/>
        <v>Y</v>
      </c>
      <c r="K294" s="379">
        <f t="shared" si="223"/>
        <v>741</v>
      </c>
      <c r="L294" s="379">
        <f t="shared" si="224"/>
        <v>0</v>
      </c>
      <c r="M294" s="379">
        <f t="shared" si="225"/>
        <v>741</v>
      </c>
      <c r="N294" s="379">
        <f t="shared" si="226"/>
        <v>741</v>
      </c>
      <c r="O294" s="379">
        <f t="shared" si="227"/>
        <v>0</v>
      </c>
      <c r="P294" s="379">
        <f t="shared" si="228"/>
        <v>0</v>
      </c>
      <c r="Q294" s="379" t="str">
        <f t="shared" si="229"/>
        <v>Y</v>
      </c>
      <c r="R294" s="379" t="str">
        <f t="shared" si="230"/>
        <v>Walcha Waste Depot</v>
      </c>
      <c r="S294" s="379" t="str">
        <f t="shared" si="231"/>
        <v>Woolbrook Landfill</v>
      </c>
      <c r="T294" s="379" t="str">
        <f t="shared" si="232"/>
        <v>Nowendoc Landfill</v>
      </c>
      <c r="U294" s="379">
        <f t="shared" si="233"/>
        <v>0</v>
      </c>
      <c r="V294" s="379">
        <f t="shared" si="234"/>
        <v>0</v>
      </c>
      <c r="W294" s="379">
        <f t="shared" si="235"/>
        <v>0</v>
      </c>
      <c r="X294" s="379">
        <f t="shared" si="236"/>
        <v>0</v>
      </c>
      <c r="Y294" s="379">
        <f t="shared" si="237"/>
        <v>0</v>
      </c>
      <c r="Z294" s="379">
        <f t="shared" si="238"/>
        <v>0</v>
      </c>
      <c r="AA294" s="379">
        <f t="shared" si="239"/>
        <v>0</v>
      </c>
      <c r="AB294" s="379">
        <f t="shared" si="240"/>
        <v>0</v>
      </c>
      <c r="AC294" s="379">
        <f t="shared" si="241"/>
        <v>0</v>
      </c>
      <c r="AD294" s="379">
        <f t="shared" si="242"/>
        <v>0</v>
      </c>
      <c r="AE294" s="379">
        <f t="shared" si="243"/>
        <v>0</v>
      </c>
      <c r="AF294" s="379">
        <f t="shared" si="244"/>
        <v>0</v>
      </c>
      <c r="AG294" s="379">
        <f t="shared" si="245"/>
        <v>0</v>
      </c>
      <c r="AH294" s="379">
        <f t="shared" si="246"/>
        <v>0</v>
      </c>
      <c r="AI294" s="379">
        <f t="shared" si="247"/>
        <v>0</v>
      </c>
      <c r="AJ294" s="379">
        <f t="shared" si="248"/>
        <v>0</v>
      </c>
      <c r="AK294" s="379">
        <f t="shared" si="249"/>
        <v>0</v>
      </c>
      <c r="AL294" s="379">
        <f t="shared" si="250"/>
        <v>0</v>
      </c>
      <c r="AM294" s="379">
        <f t="shared" si="251"/>
        <v>0</v>
      </c>
      <c r="AN294" s="490">
        <f t="shared" si="252"/>
        <v>0</v>
      </c>
      <c r="AO294" s="379">
        <f t="shared" si="253"/>
        <v>0</v>
      </c>
      <c r="AP294" s="379">
        <f t="shared" si="254"/>
        <v>0</v>
      </c>
      <c r="AQ294" s="379">
        <f t="shared" si="255"/>
        <v>0</v>
      </c>
      <c r="AR294" s="379">
        <f t="shared" si="256"/>
        <v>0</v>
      </c>
      <c r="AS294" s="379">
        <f t="shared" si="257"/>
        <v>0</v>
      </c>
      <c r="AT294" s="379">
        <f t="shared" si="258"/>
        <v>0</v>
      </c>
      <c r="AU294" s="379">
        <f t="shared" si="259"/>
        <v>0</v>
      </c>
      <c r="AV294" s="379">
        <f t="shared" si="260"/>
        <v>0</v>
      </c>
      <c r="AW294" s="379">
        <f t="shared" si="261"/>
        <v>0</v>
      </c>
      <c r="AX294" s="379">
        <f t="shared" si="262"/>
        <v>0</v>
      </c>
      <c r="AY294" s="379">
        <f t="shared" si="263"/>
        <v>0</v>
      </c>
    </row>
    <row r="295" spans="1:51" x14ac:dyDescent="0.2">
      <c r="A295" s="376">
        <v>17900</v>
      </c>
      <c r="B295" s="378" t="str">
        <f t="shared" si="216"/>
        <v>Walgett (A)</v>
      </c>
      <c r="C295" s="377" t="str">
        <f t="shared" si="217"/>
        <v>NetWaste</v>
      </c>
      <c r="D295" s="503" t="str">
        <f t="shared" si="218"/>
        <v>N</v>
      </c>
      <c r="E295" s="503"/>
      <c r="F295"/>
      <c r="G295" s="379">
        <f t="shared" si="219"/>
        <v>6750</v>
      </c>
      <c r="H295" s="379">
        <f t="shared" si="220"/>
        <v>3634</v>
      </c>
      <c r="I295" s="379">
        <f t="shared" si="221"/>
        <v>461</v>
      </c>
      <c r="J295" s="379" t="str">
        <f t="shared" si="222"/>
        <v>Y</v>
      </c>
      <c r="K295" s="379">
        <f t="shared" si="223"/>
        <v>3634</v>
      </c>
      <c r="L295" s="379">
        <f t="shared" si="224"/>
        <v>0</v>
      </c>
      <c r="M295" s="379">
        <f t="shared" si="225"/>
        <v>0</v>
      </c>
      <c r="N295" s="379">
        <f t="shared" si="226"/>
        <v>0</v>
      </c>
      <c r="O295" s="379">
        <f t="shared" si="227"/>
        <v>0</v>
      </c>
      <c r="P295" s="379">
        <f t="shared" si="228"/>
        <v>0</v>
      </c>
      <c r="Q295" s="379" t="str">
        <f t="shared" si="229"/>
        <v>Y</v>
      </c>
      <c r="R295" s="379" t="str">
        <f t="shared" si="230"/>
        <v>Walgett Landfill</v>
      </c>
      <c r="S295" s="379" t="str">
        <f t="shared" si="231"/>
        <v>Lightning Ridge Landfill</v>
      </c>
      <c r="T295" s="379" t="str">
        <f t="shared" si="232"/>
        <v>Collarenebri Landfll</v>
      </c>
      <c r="U295" s="379" t="str">
        <f t="shared" si="233"/>
        <v>Carinda Landfill</v>
      </c>
      <c r="V295" s="379" t="str">
        <f t="shared" si="234"/>
        <v>Rowena Landfill</v>
      </c>
      <c r="W295" s="379" t="str">
        <f t="shared" si="235"/>
        <v>other</v>
      </c>
      <c r="X295" s="379">
        <f t="shared" si="236"/>
        <v>0</v>
      </c>
      <c r="Y295" s="379">
        <f t="shared" si="237"/>
        <v>0</v>
      </c>
      <c r="Z295" s="379">
        <f t="shared" si="238"/>
        <v>0</v>
      </c>
      <c r="AA295" s="379">
        <f t="shared" si="239"/>
        <v>0</v>
      </c>
      <c r="AB295" s="379">
        <f t="shared" si="240"/>
        <v>0</v>
      </c>
      <c r="AC295" s="379">
        <f t="shared" si="241"/>
        <v>0</v>
      </c>
      <c r="AD295" s="379">
        <f t="shared" si="242"/>
        <v>0</v>
      </c>
      <c r="AE295" s="379">
        <f t="shared" si="243"/>
        <v>0</v>
      </c>
      <c r="AF295" s="379">
        <f t="shared" si="244"/>
        <v>0</v>
      </c>
      <c r="AG295" s="379">
        <f t="shared" si="245"/>
        <v>0</v>
      </c>
      <c r="AH295" s="379">
        <f t="shared" si="246"/>
        <v>0</v>
      </c>
      <c r="AI295" s="379">
        <f t="shared" si="247"/>
        <v>0</v>
      </c>
      <c r="AJ295" s="379">
        <f t="shared" si="248"/>
        <v>0</v>
      </c>
      <c r="AK295" s="379">
        <f t="shared" si="249"/>
        <v>0</v>
      </c>
      <c r="AL295" s="379">
        <f t="shared" si="250"/>
        <v>0</v>
      </c>
      <c r="AM295" s="379">
        <f t="shared" si="251"/>
        <v>0</v>
      </c>
      <c r="AN295" s="490">
        <f t="shared" si="252"/>
        <v>0</v>
      </c>
      <c r="AO295" s="379">
        <f t="shared" si="253"/>
        <v>0</v>
      </c>
      <c r="AP295" s="379">
        <f t="shared" si="254"/>
        <v>0</v>
      </c>
      <c r="AQ295" s="379">
        <f t="shared" si="255"/>
        <v>0</v>
      </c>
      <c r="AR295" s="379">
        <f t="shared" si="256"/>
        <v>0</v>
      </c>
      <c r="AS295" s="379">
        <f t="shared" si="257"/>
        <v>0</v>
      </c>
      <c r="AT295" s="379">
        <f t="shared" si="258"/>
        <v>0</v>
      </c>
      <c r="AU295" s="379">
        <f t="shared" si="259"/>
        <v>0</v>
      </c>
      <c r="AV295" s="379">
        <f t="shared" si="260"/>
        <v>0</v>
      </c>
      <c r="AW295" s="379">
        <f t="shared" si="261"/>
        <v>0</v>
      </c>
      <c r="AX295" s="379">
        <f t="shared" si="262"/>
        <v>0</v>
      </c>
      <c r="AY295" s="379">
        <f t="shared" si="263"/>
        <v>0</v>
      </c>
    </row>
    <row r="296" spans="1:51" x14ac:dyDescent="0.2">
      <c r="A296" s="376">
        <v>17950</v>
      </c>
      <c r="B296" s="378" t="str">
        <f t="shared" si="216"/>
        <v>Warren (A)</v>
      </c>
      <c r="C296" s="377" t="str">
        <f t="shared" si="217"/>
        <v>NetWaste</v>
      </c>
      <c r="D296" s="503" t="str">
        <f t="shared" si="218"/>
        <v>N</v>
      </c>
      <c r="E296" s="503"/>
      <c r="F296"/>
      <c r="G296" s="379">
        <f t="shared" si="219"/>
        <v>2901</v>
      </c>
      <c r="H296" s="379">
        <f t="shared" si="220"/>
        <v>777</v>
      </c>
      <c r="I296" s="379">
        <f t="shared" si="221"/>
        <v>240</v>
      </c>
      <c r="J296" s="379" t="str">
        <f t="shared" si="222"/>
        <v>Y</v>
      </c>
      <c r="K296" s="379">
        <f t="shared" si="223"/>
        <v>759</v>
      </c>
      <c r="L296" s="379">
        <f t="shared" si="224"/>
        <v>0</v>
      </c>
      <c r="M296" s="379">
        <f t="shared" si="225"/>
        <v>0</v>
      </c>
      <c r="N296" s="379">
        <f t="shared" si="226"/>
        <v>0</v>
      </c>
      <c r="O296" s="379">
        <f t="shared" si="227"/>
        <v>0</v>
      </c>
      <c r="P296" s="379">
        <f t="shared" si="228"/>
        <v>0</v>
      </c>
      <c r="Q296" s="379" t="str">
        <f t="shared" si="229"/>
        <v>Y</v>
      </c>
      <c r="R296" s="379" t="str">
        <f t="shared" si="230"/>
        <v>Ewenmar Waste Facility</v>
      </c>
      <c r="S296" s="379">
        <f t="shared" si="231"/>
        <v>0</v>
      </c>
      <c r="T296" s="379">
        <f t="shared" si="232"/>
        <v>0</v>
      </c>
      <c r="U296" s="379">
        <f t="shared" si="233"/>
        <v>0</v>
      </c>
      <c r="V296" s="379">
        <f t="shared" si="234"/>
        <v>0</v>
      </c>
      <c r="W296" s="379">
        <f t="shared" si="235"/>
        <v>0</v>
      </c>
      <c r="X296" s="379">
        <f t="shared" si="236"/>
        <v>0</v>
      </c>
      <c r="Y296" s="379">
        <f t="shared" si="237"/>
        <v>0</v>
      </c>
      <c r="Z296" s="379">
        <f t="shared" si="238"/>
        <v>0</v>
      </c>
      <c r="AA296" s="379">
        <f t="shared" si="239"/>
        <v>0</v>
      </c>
      <c r="AB296" s="379">
        <f t="shared" si="240"/>
        <v>0</v>
      </c>
      <c r="AC296" s="379">
        <f t="shared" si="241"/>
        <v>0</v>
      </c>
      <c r="AD296" s="379">
        <f t="shared" si="242"/>
        <v>0</v>
      </c>
      <c r="AE296" s="379">
        <f t="shared" si="243"/>
        <v>0</v>
      </c>
      <c r="AF296" s="379">
        <f t="shared" si="244"/>
        <v>0</v>
      </c>
      <c r="AG296" s="379">
        <f t="shared" si="245"/>
        <v>0</v>
      </c>
      <c r="AH296" s="379">
        <f t="shared" si="246"/>
        <v>0</v>
      </c>
      <c r="AI296" s="379">
        <f t="shared" si="247"/>
        <v>0</v>
      </c>
      <c r="AJ296" s="379">
        <f t="shared" si="248"/>
        <v>0</v>
      </c>
      <c r="AK296" s="379">
        <f t="shared" si="249"/>
        <v>0</v>
      </c>
      <c r="AL296" s="379">
        <f t="shared" si="250"/>
        <v>0</v>
      </c>
      <c r="AM296" s="379">
        <f t="shared" si="251"/>
        <v>0</v>
      </c>
      <c r="AN296" s="490">
        <f t="shared" si="252"/>
        <v>0</v>
      </c>
      <c r="AO296" s="379">
        <f t="shared" si="253"/>
        <v>0</v>
      </c>
      <c r="AP296" s="379">
        <f t="shared" si="254"/>
        <v>0</v>
      </c>
      <c r="AQ296" s="379">
        <f t="shared" si="255"/>
        <v>0</v>
      </c>
      <c r="AR296" s="379">
        <f t="shared" si="256"/>
        <v>0</v>
      </c>
      <c r="AS296" s="379">
        <f t="shared" si="257"/>
        <v>0</v>
      </c>
      <c r="AT296" s="379">
        <f t="shared" si="258"/>
        <v>0</v>
      </c>
      <c r="AU296" s="379">
        <f t="shared" si="259"/>
        <v>0</v>
      </c>
      <c r="AV296" s="379">
        <f t="shared" si="260"/>
        <v>0</v>
      </c>
      <c r="AW296" s="379">
        <f t="shared" si="261"/>
        <v>0</v>
      </c>
      <c r="AX296" s="379">
        <f t="shared" si="262"/>
        <v>0</v>
      </c>
      <c r="AY296" s="379">
        <f t="shared" si="263"/>
        <v>0</v>
      </c>
    </row>
    <row r="297" spans="1:51" x14ac:dyDescent="0.2">
      <c r="A297" s="376">
        <v>18020</v>
      </c>
      <c r="B297" s="378" t="str">
        <f t="shared" si="216"/>
        <v>Warrumbungle Shire (A)</v>
      </c>
      <c r="C297" s="377" t="str">
        <f t="shared" si="217"/>
        <v>NetWaste</v>
      </c>
      <c r="D297" s="503" t="str">
        <f t="shared" si="218"/>
        <v>N</v>
      </c>
      <c r="E297" s="503"/>
      <c r="F297"/>
      <c r="G297" s="379">
        <f t="shared" si="219"/>
        <v>9688</v>
      </c>
      <c r="H297" s="379">
        <f t="shared" si="220"/>
        <v>3520</v>
      </c>
      <c r="I297" s="379">
        <f t="shared" si="221"/>
        <v>325</v>
      </c>
      <c r="J297" s="379" t="str">
        <f t="shared" si="222"/>
        <v>Y</v>
      </c>
      <c r="K297" s="379">
        <f t="shared" si="223"/>
        <v>3420</v>
      </c>
      <c r="L297" s="379">
        <f t="shared" si="224"/>
        <v>0</v>
      </c>
      <c r="M297" s="379">
        <f t="shared" si="225"/>
        <v>3420</v>
      </c>
      <c r="N297" s="379">
        <f t="shared" si="226"/>
        <v>0</v>
      </c>
      <c r="O297" s="379">
        <f t="shared" si="227"/>
        <v>0</v>
      </c>
      <c r="P297" s="379">
        <f t="shared" si="228"/>
        <v>0</v>
      </c>
      <c r="Q297" s="379" t="str">
        <f t="shared" si="229"/>
        <v>Y</v>
      </c>
      <c r="R297" s="379" t="str">
        <f t="shared" si="230"/>
        <v>Coonabarabran</v>
      </c>
      <c r="S297" s="379" t="str">
        <f t="shared" si="231"/>
        <v>Baradine</v>
      </c>
      <c r="T297" s="379" t="str">
        <f t="shared" si="232"/>
        <v>Binnaway</v>
      </c>
      <c r="U297" s="379" t="str">
        <f t="shared" si="233"/>
        <v>Ulamambri</v>
      </c>
      <c r="V297" s="379" t="str">
        <f t="shared" si="234"/>
        <v>Coolah</v>
      </c>
      <c r="W297" s="379" t="str">
        <f t="shared" si="235"/>
        <v>Dunedoo</v>
      </c>
      <c r="X297" s="379">
        <f t="shared" si="236"/>
        <v>0</v>
      </c>
      <c r="Y297" s="379">
        <f t="shared" si="237"/>
        <v>0</v>
      </c>
      <c r="Z297" s="379">
        <f t="shared" si="238"/>
        <v>0</v>
      </c>
      <c r="AA297" s="379">
        <f t="shared" si="239"/>
        <v>0</v>
      </c>
      <c r="AB297" s="379">
        <f t="shared" si="240"/>
        <v>0</v>
      </c>
      <c r="AC297" s="379">
        <f t="shared" si="241"/>
        <v>0</v>
      </c>
      <c r="AD297" s="379">
        <f t="shared" si="242"/>
        <v>0</v>
      </c>
      <c r="AE297" s="379">
        <f t="shared" si="243"/>
        <v>0</v>
      </c>
      <c r="AF297" s="379">
        <f t="shared" si="244"/>
        <v>0</v>
      </c>
      <c r="AG297" s="379">
        <f t="shared" si="245"/>
        <v>0</v>
      </c>
      <c r="AH297" s="379">
        <f t="shared" si="246"/>
        <v>0</v>
      </c>
      <c r="AI297" s="379">
        <f t="shared" si="247"/>
        <v>0</v>
      </c>
      <c r="AJ297" s="379">
        <f t="shared" si="248"/>
        <v>0</v>
      </c>
      <c r="AK297" s="379">
        <f t="shared" si="249"/>
        <v>0</v>
      </c>
      <c r="AL297" s="379">
        <f t="shared" si="250"/>
        <v>0</v>
      </c>
      <c r="AM297" s="379">
        <f t="shared" si="251"/>
        <v>0</v>
      </c>
      <c r="AN297" s="490">
        <f t="shared" si="252"/>
        <v>0</v>
      </c>
      <c r="AO297" s="379">
        <f t="shared" si="253"/>
        <v>0</v>
      </c>
      <c r="AP297" s="379">
        <f t="shared" si="254"/>
        <v>0</v>
      </c>
      <c r="AQ297" s="379">
        <f t="shared" si="255"/>
        <v>0</v>
      </c>
      <c r="AR297" s="379">
        <f t="shared" si="256"/>
        <v>0</v>
      </c>
      <c r="AS297" s="379">
        <f t="shared" si="257"/>
        <v>0</v>
      </c>
      <c r="AT297" s="379">
        <f t="shared" si="258"/>
        <v>0</v>
      </c>
      <c r="AU297" s="379">
        <f t="shared" si="259"/>
        <v>0</v>
      </c>
      <c r="AV297" s="379">
        <f t="shared" si="260"/>
        <v>0</v>
      </c>
      <c r="AW297" s="379">
        <f t="shared" si="261"/>
        <v>0</v>
      </c>
      <c r="AX297" s="379">
        <f t="shared" si="262"/>
        <v>0</v>
      </c>
      <c r="AY297" s="379">
        <f t="shared" si="263"/>
        <v>0</v>
      </c>
    </row>
    <row r="298" spans="1:51" x14ac:dyDescent="0.2">
      <c r="A298" s="376">
        <v>18100</v>
      </c>
      <c r="B298" s="378" t="str">
        <f t="shared" si="216"/>
        <v>Weddin (A)</v>
      </c>
      <c r="C298" s="377" t="str">
        <f t="shared" si="217"/>
        <v>NetWaste</v>
      </c>
      <c r="D298" s="503" t="str">
        <f t="shared" si="218"/>
        <v>N</v>
      </c>
      <c r="E298" s="503"/>
      <c r="F298"/>
      <c r="G298" s="379">
        <f t="shared" si="219"/>
        <v>3708</v>
      </c>
      <c r="H298" s="379">
        <f t="shared" si="220"/>
        <v>1532</v>
      </c>
      <c r="I298" s="379">
        <f t="shared" si="221"/>
        <v>183</v>
      </c>
      <c r="J298" s="379" t="str">
        <f t="shared" si="222"/>
        <v>Y</v>
      </c>
      <c r="K298" s="379">
        <f t="shared" si="223"/>
        <v>1133</v>
      </c>
      <c r="L298" s="379">
        <f t="shared" si="224"/>
        <v>0</v>
      </c>
      <c r="M298" s="379">
        <f t="shared" si="225"/>
        <v>1133</v>
      </c>
      <c r="N298" s="379">
        <f t="shared" si="226"/>
        <v>0</v>
      </c>
      <c r="O298" s="379">
        <f t="shared" si="227"/>
        <v>0</v>
      </c>
      <c r="P298" s="379">
        <f t="shared" si="228"/>
        <v>0</v>
      </c>
      <c r="Q298" s="379" t="str">
        <f t="shared" si="229"/>
        <v>Y</v>
      </c>
      <c r="R298" s="379" t="str">
        <f t="shared" si="230"/>
        <v>Grenfell Waste Faciltity</v>
      </c>
      <c r="S298" s="379" t="str">
        <f t="shared" si="231"/>
        <v>Quandialla Landfill</v>
      </c>
      <c r="T298" s="379" t="str">
        <f t="shared" si="232"/>
        <v>Caragabal Landfill</v>
      </c>
      <c r="U298" s="379">
        <f t="shared" si="233"/>
        <v>0</v>
      </c>
      <c r="V298" s="379">
        <f t="shared" si="234"/>
        <v>0</v>
      </c>
      <c r="W298" s="379">
        <f t="shared" si="235"/>
        <v>0</v>
      </c>
      <c r="X298" s="379">
        <f t="shared" si="236"/>
        <v>0</v>
      </c>
      <c r="Y298" s="379">
        <f t="shared" si="237"/>
        <v>0</v>
      </c>
      <c r="Z298" s="379">
        <f t="shared" si="238"/>
        <v>0</v>
      </c>
      <c r="AA298" s="379">
        <f t="shared" si="239"/>
        <v>0</v>
      </c>
      <c r="AB298" s="379">
        <f t="shared" si="240"/>
        <v>0</v>
      </c>
      <c r="AC298" s="379">
        <f t="shared" si="241"/>
        <v>0</v>
      </c>
      <c r="AD298" s="379">
        <f t="shared" si="242"/>
        <v>0</v>
      </c>
      <c r="AE298" s="379">
        <f t="shared" si="243"/>
        <v>0</v>
      </c>
      <c r="AF298" s="379">
        <f t="shared" si="244"/>
        <v>0</v>
      </c>
      <c r="AG298" s="379">
        <f t="shared" si="245"/>
        <v>0</v>
      </c>
      <c r="AH298" s="379">
        <f t="shared" si="246"/>
        <v>0</v>
      </c>
      <c r="AI298" s="379">
        <f t="shared" si="247"/>
        <v>0</v>
      </c>
      <c r="AJ298" s="379">
        <f t="shared" si="248"/>
        <v>0</v>
      </c>
      <c r="AK298" s="379">
        <f t="shared" si="249"/>
        <v>0</v>
      </c>
      <c r="AL298" s="379">
        <f t="shared" si="250"/>
        <v>0</v>
      </c>
      <c r="AM298" s="379">
        <f t="shared" si="251"/>
        <v>0</v>
      </c>
      <c r="AN298" s="490">
        <f t="shared" si="252"/>
        <v>0</v>
      </c>
      <c r="AO298" s="379">
        <f t="shared" si="253"/>
        <v>0</v>
      </c>
      <c r="AP298" s="379">
        <f t="shared" si="254"/>
        <v>0</v>
      </c>
      <c r="AQ298" s="379">
        <f t="shared" si="255"/>
        <v>0</v>
      </c>
      <c r="AR298" s="379">
        <f t="shared" si="256"/>
        <v>0</v>
      </c>
      <c r="AS298" s="379">
        <f t="shared" si="257"/>
        <v>0</v>
      </c>
      <c r="AT298" s="379">
        <f t="shared" si="258"/>
        <v>0</v>
      </c>
      <c r="AU298" s="379">
        <f t="shared" si="259"/>
        <v>0</v>
      </c>
      <c r="AV298" s="379">
        <f t="shared" si="260"/>
        <v>0</v>
      </c>
      <c r="AW298" s="379">
        <f t="shared" si="261"/>
        <v>0</v>
      </c>
      <c r="AX298" s="379">
        <f t="shared" si="262"/>
        <v>0</v>
      </c>
      <c r="AY298" s="379">
        <f t="shared" si="263"/>
        <v>0</v>
      </c>
    </row>
    <row r="299" spans="1:51" x14ac:dyDescent="0.2">
      <c r="A299" s="376">
        <v>18200</v>
      </c>
      <c r="B299" s="378" t="str">
        <f t="shared" si="216"/>
        <v>Wentworth (A)</v>
      </c>
      <c r="C299" s="377" t="str">
        <f t="shared" si="217"/>
        <v>RAMROC Murray</v>
      </c>
      <c r="D299" s="503" t="str">
        <f t="shared" si="218"/>
        <v>N</v>
      </c>
      <c r="E299" s="503"/>
      <c r="F299"/>
      <c r="G299" s="379">
        <f t="shared" si="219"/>
        <v>6962</v>
      </c>
      <c r="H299" s="379">
        <f t="shared" si="220"/>
        <v>2705</v>
      </c>
      <c r="I299" s="379">
        <f t="shared" si="221"/>
        <v>225</v>
      </c>
      <c r="J299" s="379" t="str">
        <f t="shared" si="222"/>
        <v>Y</v>
      </c>
      <c r="K299" s="379">
        <f t="shared" si="223"/>
        <v>2880</v>
      </c>
      <c r="L299" s="379">
        <f t="shared" si="224"/>
        <v>0</v>
      </c>
      <c r="M299" s="379">
        <f t="shared" si="225"/>
        <v>0</v>
      </c>
      <c r="N299" s="379">
        <f t="shared" si="226"/>
        <v>0</v>
      </c>
      <c r="O299" s="379">
        <f t="shared" si="227"/>
        <v>0</v>
      </c>
      <c r="P299" s="379" t="str">
        <f t="shared" si="228"/>
        <v>Y</v>
      </c>
      <c r="Q299" s="379" t="str">
        <f t="shared" si="229"/>
        <v>Y</v>
      </c>
      <c r="R299" s="379" t="str">
        <f t="shared" si="230"/>
        <v>Wentworth Transfer Station</v>
      </c>
      <c r="S299" s="379" t="str">
        <f t="shared" si="231"/>
        <v>Dareton Transfer station</v>
      </c>
      <c r="T299" s="379" t="str">
        <f t="shared" si="232"/>
        <v>Ellerslie Tip</v>
      </c>
      <c r="U299" s="379" t="str">
        <f t="shared" si="233"/>
        <v>Pomona Tip</v>
      </c>
      <c r="V299" s="379" t="str">
        <f t="shared" si="234"/>
        <v>Pooncarie Tip</v>
      </c>
      <c r="W299" s="379" t="str">
        <f t="shared" si="235"/>
        <v>Buronga Landfill</v>
      </c>
      <c r="X299" s="379">
        <f t="shared" si="236"/>
        <v>0</v>
      </c>
      <c r="Y299" s="379">
        <f t="shared" si="237"/>
        <v>0</v>
      </c>
      <c r="Z299" s="379">
        <f t="shared" si="238"/>
        <v>0</v>
      </c>
      <c r="AA299" s="379">
        <f t="shared" si="239"/>
        <v>0</v>
      </c>
      <c r="AB299" s="379">
        <f t="shared" si="240"/>
        <v>0</v>
      </c>
      <c r="AC299" s="379">
        <f t="shared" si="241"/>
        <v>0</v>
      </c>
      <c r="AD299" s="379">
        <f t="shared" si="242"/>
        <v>0</v>
      </c>
      <c r="AE299" s="379">
        <f t="shared" si="243"/>
        <v>0</v>
      </c>
      <c r="AF299" s="379">
        <f t="shared" si="244"/>
        <v>0</v>
      </c>
      <c r="AG299" s="379">
        <f t="shared" si="245"/>
        <v>0</v>
      </c>
      <c r="AH299" s="379">
        <f t="shared" si="246"/>
        <v>0</v>
      </c>
      <c r="AI299" s="379">
        <f t="shared" si="247"/>
        <v>0</v>
      </c>
      <c r="AJ299" s="379">
        <f t="shared" si="248"/>
        <v>0</v>
      </c>
      <c r="AK299" s="379">
        <f t="shared" si="249"/>
        <v>0</v>
      </c>
      <c r="AL299" s="379">
        <f t="shared" si="250"/>
        <v>0</v>
      </c>
      <c r="AM299" s="379">
        <f t="shared" si="251"/>
        <v>0</v>
      </c>
      <c r="AN299" s="490">
        <f t="shared" si="252"/>
        <v>0</v>
      </c>
      <c r="AO299" s="379">
        <f t="shared" si="253"/>
        <v>0</v>
      </c>
      <c r="AP299" s="379">
        <f t="shared" si="254"/>
        <v>0</v>
      </c>
      <c r="AQ299" s="379">
        <f t="shared" si="255"/>
        <v>0</v>
      </c>
      <c r="AR299" s="379">
        <f t="shared" si="256"/>
        <v>0</v>
      </c>
      <c r="AS299" s="379">
        <f t="shared" si="257"/>
        <v>0</v>
      </c>
      <c r="AT299" s="379">
        <f t="shared" si="258"/>
        <v>0</v>
      </c>
      <c r="AU299" s="379">
        <f t="shared" si="259"/>
        <v>0</v>
      </c>
      <c r="AV299" s="379">
        <f t="shared" si="260"/>
        <v>0</v>
      </c>
      <c r="AW299" s="379">
        <f t="shared" si="261"/>
        <v>0</v>
      </c>
      <c r="AX299" s="379">
        <f t="shared" si="262"/>
        <v>0</v>
      </c>
      <c r="AY299" s="379">
        <f t="shared" si="263"/>
        <v>0</v>
      </c>
    </row>
    <row r="300" spans="1:51" x14ac:dyDescent="0.2">
      <c r="A300" s="376">
        <v>18230</v>
      </c>
      <c r="B300" s="378" t="str">
        <f t="shared" si="216"/>
        <v>Dubbo Regional (A)</v>
      </c>
      <c r="C300" s="377" t="str">
        <f t="shared" si="217"/>
        <v>NetWaste</v>
      </c>
      <c r="D300" s="503" t="str">
        <f t="shared" si="218"/>
        <v>N</v>
      </c>
      <c r="E300" s="503"/>
      <c r="F300"/>
      <c r="G300" s="379">
        <f t="shared" si="219"/>
        <v>51449</v>
      </c>
      <c r="H300" s="379">
        <f t="shared" si="220"/>
        <v>22045</v>
      </c>
      <c r="I300" s="379">
        <f t="shared" si="221"/>
        <v>290.60000000000002</v>
      </c>
      <c r="J300" s="379" t="str">
        <f t="shared" si="222"/>
        <v>Y</v>
      </c>
      <c r="K300" s="379">
        <f t="shared" si="223"/>
        <v>19165</v>
      </c>
      <c r="L300" s="379">
        <f t="shared" si="224"/>
        <v>0</v>
      </c>
      <c r="M300" s="379">
        <f t="shared" si="225"/>
        <v>19165</v>
      </c>
      <c r="N300" s="379">
        <f t="shared" si="226"/>
        <v>0</v>
      </c>
      <c r="O300" s="379">
        <f t="shared" si="227"/>
        <v>0</v>
      </c>
      <c r="P300" s="379" t="str">
        <f t="shared" si="228"/>
        <v>Y</v>
      </c>
      <c r="Q300" s="379" t="str">
        <f t="shared" si="229"/>
        <v>Y</v>
      </c>
      <c r="R300" s="379" t="str">
        <f t="shared" si="230"/>
        <v>Transfer Stations Dubbo</v>
      </c>
      <c r="S300" s="379" t="str">
        <f t="shared" si="231"/>
        <v>Wellington Waste Disposal Depot</v>
      </c>
      <c r="T300" s="379" t="str">
        <f t="shared" si="232"/>
        <v>Whylandra Waste Disposal Depot</v>
      </c>
      <c r="U300" s="379" t="str">
        <f t="shared" si="233"/>
        <v>Wellington transfer stations</v>
      </c>
      <c r="V300" s="379">
        <f t="shared" si="234"/>
        <v>0</v>
      </c>
      <c r="W300" s="379">
        <f t="shared" si="235"/>
        <v>0</v>
      </c>
      <c r="X300" s="379">
        <f t="shared" si="236"/>
        <v>0</v>
      </c>
      <c r="Y300" s="379">
        <f t="shared" si="237"/>
        <v>0</v>
      </c>
      <c r="Z300" s="379">
        <f t="shared" si="238"/>
        <v>0</v>
      </c>
      <c r="AA300" s="379">
        <f t="shared" si="239"/>
        <v>0</v>
      </c>
      <c r="AB300" s="379">
        <f t="shared" si="240"/>
        <v>0</v>
      </c>
      <c r="AC300" s="379">
        <f t="shared" si="241"/>
        <v>0</v>
      </c>
      <c r="AD300" s="379">
        <f t="shared" si="242"/>
        <v>0</v>
      </c>
      <c r="AE300" s="379">
        <f t="shared" si="243"/>
        <v>0</v>
      </c>
      <c r="AF300" s="379">
        <f t="shared" si="244"/>
        <v>0</v>
      </c>
      <c r="AG300" s="379">
        <f t="shared" si="245"/>
        <v>0</v>
      </c>
      <c r="AH300" s="379">
        <f t="shared" si="246"/>
        <v>0</v>
      </c>
      <c r="AI300" s="379">
        <f t="shared" si="247"/>
        <v>0</v>
      </c>
      <c r="AJ300" s="379">
        <f t="shared" si="248"/>
        <v>0</v>
      </c>
      <c r="AK300" s="379">
        <f t="shared" si="249"/>
        <v>0</v>
      </c>
      <c r="AL300" s="379">
        <f t="shared" si="250"/>
        <v>0</v>
      </c>
      <c r="AM300" s="379">
        <f t="shared" si="251"/>
        <v>0</v>
      </c>
      <c r="AN300" s="490">
        <f t="shared" si="252"/>
        <v>0</v>
      </c>
      <c r="AO300" s="379">
        <f t="shared" si="253"/>
        <v>0</v>
      </c>
      <c r="AP300" s="379">
        <f t="shared" si="254"/>
        <v>0</v>
      </c>
      <c r="AQ300" s="379">
        <f t="shared" si="255"/>
        <v>0</v>
      </c>
      <c r="AR300" s="379">
        <f t="shared" si="256"/>
        <v>0</v>
      </c>
      <c r="AS300" s="379">
        <f t="shared" si="257"/>
        <v>0</v>
      </c>
      <c r="AT300" s="379">
        <f t="shared" si="258"/>
        <v>0</v>
      </c>
      <c r="AU300" s="379">
        <f t="shared" si="259"/>
        <v>0</v>
      </c>
      <c r="AV300" s="379">
        <f t="shared" si="260"/>
        <v>0</v>
      </c>
      <c r="AW300" s="379">
        <f t="shared" si="261"/>
        <v>0</v>
      </c>
      <c r="AX300" s="379">
        <f t="shared" si="262"/>
        <v>0</v>
      </c>
      <c r="AY300" s="379">
        <f t="shared" si="263"/>
        <v>0</v>
      </c>
    </row>
    <row r="301" spans="1:51" ht="13.5" thickBot="1" x14ac:dyDescent="0.25">
      <c r="A301" s="376">
        <v>18710</v>
      </c>
      <c r="B301" s="378" t="str">
        <f t="shared" si="216"/>
        <v>Yass Valley (A)</v>
      </c>
      <c r="C301" s="377" t="str">
        <f t="shared" si="217"/>
        <v>CBRJO</v>
      </c>
      <c r="D301" s="503" t="str">
        <f t="shared" si="218"/>
        <v>N</v>
      </c>
      <c r="E301" s="503"/>
      <c r="F301"/>
      <c r="G301" s="379">
        <f t="shared" si="219"/>
        <v>16870</v>
      </c>
      <c r="H301" s="379">
        <f t="shared" si="220"/>
        <v>4892</v>
      </c>
      <c r="I301" s="379">
        <f t="shared" si="221"/>
        <v>359</v>
      </c>
      <c r="J301" s="379" t="str">
        <f t="shared" si="222"/>
        <v>Y</v>
      </c>
      <c r="K301" s="379">
        <f t="shared" si="223"/>
        <v>3798</v>
      </c>
      <c r="L301" s="379">
        <f t="shared" si="224"/>
        <v>0</v>
      </c>
      <c r="M301" s="379">
        <f t="shared" si="225"/>
        <v>3798</v>
      </c>
      <c r="N301" s="379">
        <f t="shared" si="226"/>
        <v>0</v>
      </c>
      <c r="O301" s="379">
        <f t="shared" si="227"/>
        <v>0</v>
      </c>
      <c r="P301" s="379">
        <f t="shared" si="228"/>
        <v>0</v>
      </c>
      <c r="Q301" s="379" t="str">
        <f t="shared" si="229"/>
        <v>Y</v>
      </c>
      <c r="R301" s="379" t="str">
        <f t="shared" si="230"/>
        <v>Yass Transfer Station</v>
      </c>
      <c r="S301" s="379" t="str">
        <f t="shared" si="231"/>
        <v>Gundaroo Landfill</v>
      </c>
      <c r="T301" s="379" t="str">
        <f t="shared" si="232"/>
        <v>Murrumbateman Transfer Station</v>
      </c>
      <c r="U301" s="379">
        <f t="shared" si="233"/>
        <v>0</v>
      </c>
      <c r="V301" s="379">
        <f t="shared" si="234"/>
        <v>0</v>
      </c>
      <c r="W301" s="379">
        <f t="shared" si="235"/>
        <v>0</v>
      </c>
      <c r="X301" s="379">
        <f t="shared" si="236"/>
        <v>0</v>
      </c>
      <c r="Y301" s="379">
        <f t="shared" si="237"/>
        <v>0</v>
      </c>
      <c r="Z301" s="379">
        <f t="shared" si="238"/>
        <v>0</v>
      </c>
      <c r="AA301" s="379">
        <f t="shared" si="239"/>
        <v>0</v>
      </c>
      <c r="AB301" s="379">
        <f t="shared" si="240"/>
        <v>0</v>
      </c>
      <c r="AC301" s="379">
        <f t="shared" si="241"/>
        <v>0</v>
      </c>
      <c r="AD301" s="379">
        <f t="shared" si="242"/>
        <v>0</v>
      </c>
      <c r="AE301" s="379">
        <f t="shared" si="243"/>
        <v>0</v>
      </c>
      <c r="AF301" s="379">
        <f t="shared" si="244"/>
        <v>0</v>
      </c>
      <c r="AG301" s="379">
        <f t="shared" si="245"/>
        <v>0</v>
      </c>
      <c r="AH301" s="379">
        <f t="shared" si="246"/>
        <v>0</v>
      </c>
      <c r="AI301" s="379">
        <f t="shared" si="247"/>
        <v>0</v>
      </c>
      <c r="AJ301" s="379">
        <f t="shared" si="248"/>
        <v>0</v>
      </c>
      <c r="AK301" s="379">
        <f t="shared" si="249"/>
        <v>0</v>
      </c>
      <c r="AL301" s="379">
        <f t="shared" si="250"/>
        <v>0</v>
      </c>
      <c r="AM301" s="379">
        <f t="shared" si="251"/>
        <v>0</v>
      </c>
      <c r="AN301" s="490">
        <f t="shared" si="252"/>
        <v>0</v>
      </c>
      <c r="AO301" s="379">
        <f t="shared" si="253"/>
        <v>0</v>
      </c>
      <c r="AP301" s="379">
        <f t="shared" si="254"/>
        <v>0</v>
      </c>
      <c r="AQ301" s="379">
        <f t="shared" si="255"/>
        <v>0</v>
      </c>
      <c r="AR301" s="379">
        <f t="shared" si="256"/>
        <v>0</v>
      </c>
      <c r="AS301" s="379">
        <f t="shared" si="257"/>
        <v>0</v>
      </c>
      <c r="AT301" s="379">
        <f t="shared" si="258"/>
        <v>0</v>
      </c>
      <c r="AU301" s="379">
        <f t="shared" si="259"/>
        <v>0</v>
      </c>
      <c r="AV301" s="379">
        <f t="shared" si="260"/>
        <v>0</v>
      </c>
      <c r="AW301" s="379">
        <f t="shared" si="261"/>
        <v>0</v>
      </c>
      <c r="AX301" s="379">
        <f t="shared" si="262"/>
        <v>0</v>
      </c>
      <c r="AY301" s="379">
        <f t="shared" si="263"/>
        <v>0</v>
      </c>
    </row>
    <row r="302" spans="1:51" ht="13.5" thickTop="1" x14ac:dyDescent="0.2">
      <c r="A302" s="380"/>
      <c r="B302" s="380"/>
      <c r="C302" s="380" t="s">
        <v>264</v>
      </c>
      <c r="D302" s="380"/>
      <c r="E302" s="484"/>
      <c r="F302" s="381"/>
      <c r="G302" s="382">
        <f t="shared" ref="G302:AY302" si="264">COUNTIF(G235:G301,"&gt;0")</f>
        <v>67</v>
      </c>
      <c r="H302" s="382">
        <f t="shared" si="264"/>
        <v>67</v>
      </c>
      <c r="I302" s="382">
        <f t="shared" si="264"/>
        <v>67</v>
      </c>
      <c r="J302" s="382">
        <f t="shared" si="264"/>
        <v>0</v>
      </c>
      <c r="K302" s="382">
        <f t="shared" si="264"/>
        <v>67</v>
      </c>
      <c r="L302" s="382">
        <f t="shared" si="264"/>
        <v>0</v>
      </c>
      <c r="M302" s="382">
        <f t="shared" si="264"/>
        <v>51</v>
      </c>
      <c r="N302" s="382">
        <f t="shared" si="264"/>
        <v>11</v>
      </c>
      <c r="O302" s="382">
        <f t="shared" si="264"/>
        <v>17</v>
      </c>
      <c r="P302" s="382">
        <f t="shared" si="264"/>
        <v>0</v>
      </c>
      <c r="Q302" s="382">
        <f t="shared" si="264"/>
        <v>0</v>
      </c>
      <c r="R302" s="382">
        <f t="shared" si="264"/>
        <v>0</v>
      </c>
      <c r="S302" s="382">
        <f t="shared" si="264"/>
        <v>0</v>
      </c>
      <c r="T302" s="382">
        <f t="shared" si="264"/>
        <v>0</v>
      </c>
      <c r="U302" s="382">
        <f t="shared" si="264"/>
        <v>0</v>
      </c>
      <c r="V302" s="382">
        <f t="shared" si="264"/>
        <v>0</v>
      </c>
      <c r="W302" s="382">
        <f t="shared" si="264"/>
        <v>0</v>
      </c>
      <c r="X302" s="382">
        <f t="shared" si="264"/>
        <v>0</v>
      </c>
      <c r="Y302" s="382">
        <f t="shared" si="264"/>
        <v>0</v>
      </c>
      <c r="Z302" s="382">
        <f t="shared" si="264"/>
        <v>0</v>
      </c>
      <c r="AA302" s="382">
        <f t="shared" si="264"/>
        <v>0</v>
      </c>
      <c r="AB302" s="382">
        <f t="shared" si="264"/>
        <v>0</v>
      </c>
      <c r="AC302" s="382">
        <f t="shared" si="264"/>
        <v>0</v>
      </c>
      <c r="AD302" s="382">
        <f t="shared" si="264"/>
        <v>0</v>
      </c>
      <c r="AE302" s="382">
        <f t="shared" si="264"/>
        <v>0</v>
      </c>
      <c r="AF302" s="382">
        <f t="shared" si="264"/>
        <v>0</v>
      </c>
      <c r="AG302" s="382">
        <f t="shared" si="264"/>
        <v>0</v>
      </c>
      <c r="AH302" s="382">
        <f t="shared" si="264"/>
        <v>0</v>
      </c>
      <c r="AI302" s="382">
        <f t="shared" si="264"/>
        <v>0</v>
      </c>
      <c r="AJ302" s="382">
        <f t="shared" si="264"/>
        <v>0</v>
      </c>
      <c r="AK302" s="382">
        <f t="shared" si="264"/>
        <v>0</v>
      </c>
      <c r="AL302" s="382">
        <f t="shared" si="264"/>
        <v>0</v>
      </c>
      <c r="AM302" s="382">
        <f t="shared" si="264"/>
        <v>0</v>
      </c>
      <c r="AN302" s="485">
        <f t="shared" si="264"/>
        <v>0</v>
      </c>
      <c r="AO302" s="382">
        <f t="shared" si="264"/>
        <v>0</v>
      </c>
      <c r="AP302" s="382">
        <f t="shared" si="264"/>
        <v>0</v>
      </c>
      <c r="AQ302" s="382">
        <f t="shared" si="264"/>
        <v>0</v>
      </c>
      <c r="AR302" s="382">
        <f t="shared" si="264"/>
        <v>0</v>
      </c>
      <c r="AS302" s="382">
        <f t="shared" si="264"/>
        <v>0</v>
      </c>
      <c r="AT302" s="382">
        <f t="shared" si="264"/>
        <v>0</v>
      </c>
      <c r="AU302" s="382">
        <f t="shared" si="264"/>
        <v>0</v>
      </c>
      <c r="AV302" s="382">
        <f t="shared" si="264"/>
        <v>0</v>
      </c>
      <c r="AW302" s="382">
        <f t="shared" si="264"/>
        <v>0</v>
      </c>
      <c r="AX302" s="382">
        <f t="shared" si="264"/>
        <v>0</v>
      </c>
      <c r="AY302" s="382">
        <f t="shared" si="264"/>
        <v>0</v>
      </c>
    </row>
    <row r="303" spans="1:51" x14ac:dyDescent="0.2">
      <c r="A303" s="376"/>
      <c r="B303" s="383" t="s">
        <v>305</v>
      </c>
      <c r="C303" s="376" t="s">
        <v>265</v>
      </c>
      <c r="D303" s="376"/>
      <c r="E303" s="488"/>
      <c r="F303" s="384"/>
      <c r="G303" s="385">
        <f t="shared" ref="G303:AY303" si="265">SUM(G235:G301)</f>
        <v>1020502</v>
      </c>
      <c r="H303" s="385">
        <f t="shared" si="265"/>
        <v>455452</v>
      </c>
      <c r="I303" s="385">
        <f t="shared" si="265"/>
        <v>21296.519999999997</v>
      </c>
      <c r="J303" s="385">
        <f t="shared" si="265"/>
        <v>0</v>
      </c>
      <c r="K303" s="385">
        <f t="shared" si="265"/>
        <v>386452</v>
      </c>
      <c r="L303" s="385">
        <f t="shared" si="265"/>
        <v>0</v>
      </c>
      <c r="M303" s="385">
        <f t="shared" si="265"/>
        <v>344867</v>
      </c>
      <c r="N303" s="385">
        <f t="shared" si="265"/>
        <v>105740</v>
      </c>
      <c r="O303" s="385">
        <f t="shared" si="265"/>
        <v>103395</v>
      </c>
      <c r="P303" s="385">
        <f t="shared" si="265"/>
        <v>0</v>
      </c>
      <c r="Q303" s="385">
        <f t="shared" si="265"/>
        <v>0</v>
      </c>
      <c r="R303" s="385">
        <f t="shared" si="265"/>
        <v>0</v>
      </c>
      <c r="S303" s="385">
        <f t="shared" si="265"/>
        <v>0</v>
      </c>
      <c r="T303" s="385">
        <f t="shared" si="265"/>
        <v>0</v>
      </c>
      <c r="U303" s="385">
        <f t="shared" si="265"/>
        <v>0</v>
      </c>
      <c r="V303" s="385">
        <f t="shared" si="265"/>
        <v>0</v>
      </c>
      <c r="W303" s="385">
        <f t="shared" si="265"/>
        <v>0</v>
      </c>
      <c r="X303" s="385">
        <f t="shared" si="265"/>
        <v>0</v>
      </c>
      <c r="Y303" s="385">
        <f t="shared" si="265"/>
        <v>0</v>
      </c>
      <c r="Z303" s="385">
        <f t="shared" si="265"/>
        <v>0</v>
      </c>
      <c r="AA303" s="385">
        <f t="shared" si="265"/>
        <v>0</v>
      </c>
      <c r="AB303" s="385">
        <f t="shared" si="265"/>
        <v>0</v>
      </c>
      <c r="AC303" s="385">
        <f t="shared" si="265"/>
        <v>0</v>
      </c>
      <c r="AD303" s="385">
        <f t="shared" si="265"/>
        <v>0</v>
      </c>
      <c r="AE303" s="385">
        <f t="shared" si="265"/>
        <v>0</v>
      </c>
      <c r="AF303" s="385">
        <f t="shared" si="265"/>
        <v>0</v>
      </c>
      <c r="AG303" s="385">
        <f t="shared" si="265"/>
        <v>0</v>
      </c>
      <c r="AH303" s="385">
        <f t="shared" si="265"/>
        <v>0</v>
      </c>
      <c r="AI303" s="385">
        <f t="shared" si="265"/>
        <v>0</v>
      </c>
      <c r="AJ303" s="385">
        <f t="shared" si="265"/>
        <v>0</v>
      </c>
      <c r="AK303" s="385">
        <f t="shared" si="265"/>
        <v>0</v>
      </c>
      <c r="AL303" s="385">
        <f t="shared" si="265"/>
        <v>0</v>
      </c>
      <c r="AM303" s="385">
        <f t="shared" si="265"/>
        <v>0</v>
      </c>
      <c r="AN303" s="489">
        <f t="shared" si="265"/>
        <v>0</v>
      </c>
      <c r="AO303" s="385">
        <f t="shared" si="265"/>
        <v>0</v>
      </c>
      <c r="AP303" s="385">
        <f t="shared" si="265"/>
        <v>0</v>
      </c>
      <c r="AQ303" s="385">
        <f t="shared" si="265"/>
        <v>0</v>
      </c>
      <c r="AR303" s="385">
        <f t="shared" si="265"/>
        <v>0</v>
      </c>
      <c r="AS303" s="385">
        <f t="shared" si="265"/>
        <v>0</v>
      </c>
      <c r="AT303" s="385">
        <f t="shared" si="265"/>
        <v>0</v>
      </c>
      <c r="AU303" s="385">
        <f t="shared" si="265"/>
        <v>0</v>
      </c>
      <c r="AV303" s="385">
        <f t="shared" si="265"/>
        <v>0</v>
      </c>
      <c r="AW303" s="385">
        <f t="shared" si="265"/>
        <v>0</v>
      </c>
      <c r="AX303" s="385">
        <f t="shared" si="265"/>
        <v>0</v>
      </c>
      <c r="AY303" s="385">
        <f t="shared" si="265"/>
        <v>0</v>
      </c>
    </row>
    <row r="304" spans="1:51" x14ac:dyDescent="0.2">
      <c r="A304" s="376"/>
      <c r="B304" s="383"/>
      <c r="C304" s="376" t="s">
        <v>266</v>
      </c>
      <c r="D304" s="376"/>
      <c r="E304" s="488"/>
      <c r="F304" s="384"/>
      <c r="G304" s="379">
        <f t="shared" ref="G304:AY304" si="266">MIN(G235:G301)</f>
        <v>1875</v>
      </c>
      <c r="H304" s="379">
        <f t="shared" si="266"/>
        <v>741</v>
      </c>
      <c r="I304" s="379">
        <f t="shared" si="266"/>
        <v>48.5</v>
      </c>
      <c r="J304" s="379">
        <f t="shared" si="266"/>
        <v>0</v>
      </c>
      <c r="K304" s="379">
        <f t="shared" si="266"/>
        <v>704</v>
      </c>
      <c r="L304" s="379">
        <f t="shared" si="266"/>
        <v>0</v>
      </c>
      <c r="M304" s="379">
        <f t="shared" si="266"/>
        <v>0</v>
      </c>
      <c r="N304" s="379">
        <f t="shared" si="266"/>
        <v>0</v>
      </c>
      <c r="O304" s="379">
        <f t="shared" si="266"/>
        <v>0</v>
      </c>
      <c r="P304" s="379">
        <f t="shared" si="266"/>
        <v>0</v>
      </c>
      <c r="Q304" s="379">
        <f t="shared" si="266"/>
        <v>0</v>
      </c>
      <c r="R304" s="379">
        <f t="shared" si="266"/>
        <v>0</v>
      </c>
      <c r="S304" s="379">
        <f t="shared" si="266"/>
        <v>0</v>
      </c>
      <c r="T304" s="379">
        <f t="shared" si="266"/>
        <v>0</v>
      </c>
      <c r="U304" s="379">
        <f t="shared" si="266"/>
        <v>0</v>
      </c>
      <c r="V304" s="379">
        <f t="shared" si="266"/>
        <v>0</v>
      </c>
      <c r="W304" s="379">
        <f t="shared" si="266"/>
        <v>0</v>
      </c>
      <c r="X304" s="379">
        <f t="shared" si="266"/>
        <v>0</v>
      </c>
      <c r="Y304" s="379">
        <f t="shared" si="266"/>
        <v>0</v>
      </c>
      <c r="Z304" s="379">
        <f t="shared" si="266"/>
        <v>0</v>
      </c>
      <c r="AA304" s="379">
        <f t="shared" si="266"/>
        <v>0</v>
      </c>
      <c r="AB304" s="379">
        <f t="shared" si="266"/>
        <v>0</v>
      </c>
      <c r="AC304" s="379">
        <f t="shared" si="266"/>
        <v>0</v>
      </c>
      <c r="AD304" s="379">
        <f t="shared" si="266"/>
        <v>0</v>
      </c>
      <c r="AE304" s="379">
        <f t="shared" si="266"/>
        <v>0</v>
      </c>
      <c r="AF304" s="379">
        <f t="shared" si="266"/>
        <v>0</v>
      </c>
      <c r="AG304" s="379">
        <f t="shared" si="266"/>
        <v>0</v>
      </c>
      <c r="AH304" s="379">
        <f t="shared" si="266"/>
        <v>0</v>
      </c>
      <c r="AI304" s="379">
        <f t="shared" si="266"/>
        <v>0</v>
      </c>
      <c r="AJ304" s="379">
        <f t="shared" si="266"/>
        <v>0</v>
      </c>
      <c r="AK304" s="379">
        <f t="shared" si="266"/>
        <v>0</v>
      </c>
      <c r="AL304" s="379">
        <f t="shared" si="266"/>
        <v>0</v>
      </c>
      <c r="AM304" s="379">
        <f t="shared" si="266"/>
        <v>0</v>
      </c>
      <c r="AN304" s="490">
        <f t="shared" si="266"/>
        <v>0</v>
      </c>
      <c r="AO304" s="379">
        <f t="shared" si="266"/>
        <v>0</v>
      </c>
      <c r="AP304" s="379">
        <f t="shared" si="266"/>
        <v>0</v>
      </c>
      <c r="AQ304" s="379">
        <f t="shared" si="266"/>
        <v>0</v>
      </c>
      <c r="AR304" s="379">
        <f t="shared" si="266"/>
        <v>0</v>
      </c>
      <c r="AS304" s="379">
        <f t="shared" si="266"/>
        <v>0</v>
      </c>
      <c r="AT304" s="379">
        <f t="shared" si="266"/>
        <v>0</v>
      </c>
      <c r="AU304" s="379">
        <f t="shared" si="266"/>
        <v>0</v>
      </c>
      <c r="AV304" s="379">
        <f t="shared" si="266"/>
        <v>0</v>
      </c>
      <c r="AW304" s="379">
        <f t="shared" si="266"/>
        <v>0</v>
      </c>
      <c r="AX304" s="379">
        <f t="shared" si="266"/>
        <v>0</v>
      </c>
      <c r="AY304" s="379">
        <f t="shared" si="266"/>
        <v>0</v>
      </c>
    </row>
    <row r="305" spans="1:51" x14ac:dyDescent="0.2">
      <c r="A305" s="376"/>
      <c r="B305" s="383"/>
      <c r="C305" s="376" t="s">
        <v>267</v>
      </c>
      <c r="D305" s="376"/>
      <c r="E305" s="488"/>
      <c r="F305" s="384"/>
      <c r="G305" s="379">
        <f t="shared" ref="G305:AY305" si="267">MAX(G235:G301)</f>
        <v>64272</v>
      </c>
      <c r="H305" s="379">
        <f t="shared" si="267"/>
        <v>24271</v>
      </c>
      <c r="I305" s="379">
        <f t="shared" si="267"/>
        <v>595</v>
      </c>
      <c r="J305" s="379">
        <f t="shared" si="267"/>
        <v>0</v>
      </c>
      <c r="K305" s="379">
        <f t="shared" si="267"/>
        <v>25354</v>
      </c>
      <c r="L305" s="379">
        <f t="shared" si="267"/>
        <v>0</v>
      </c>
      <c r="M305" s="379">
        <f t="shared" si="267"/>
        <v>24283</v>
      </c>
      <c r="N305" s="379">
        <f t="shared" si="267"/>
        <v>23503</v>
      </c>
      <c r="O305" s="379">
        <f t="shared" si="267"/>
        <v>22964</v>
      </c>
      <c r="P305" s="379">
        <f t="shared" si="267"/>
        <v>0</v>
      </c>
      <c r="Q305" s="379">
        <f t="shared" si="267"/>
        <v>0</v>
      </c>
      <c r="R305" s="379">
        <f t="shared" si="267"/>
        <v>0</v>
      </c>
      <c r="S305" s="379">
        <f t="shared" si="267"/>
        <v>0</v>
      </c>
      <c r="T305" s="379">
        <f t="shared" si="267"/>
        <v>0</v>
      </c>
      <c r="U305" s="379">
        <f t="shared" si="267"/>
        <v>0</v>
      </c>
      <c r="V305" s="379">
        <f t="shared" si="267"/>
        <v>0</v>
      </c>
      <c r="W305" s="379">
        <f t="shared" si="267"/>
        <v>0</v>
      </c>
      <c r="X305" s="379">
        <f t="shared" si="267"/>
        <v>0</v>
      </c>
      <c r="Y305" s="379">
        <f t="shared" si="267"/>
        <v>0</v>
      </c>
      <c r="Z305" s="379">
        <f t="shared" si="267"/>
        <v>0</v>
      </c>
      <c r="AA305" s="379">
        <f t="shared" si="267"/>
        <v>0</v>
      </c>
      <c r="AB305" s="379">
        <f t="shared" si="267"/>
        <v>0</v>
      </c>
      <c r="AC305" s="379">
        <f t="shared" si="267"/>
        <v>0</v>
      </c>
      <c r="AD305" s="379">
        <f t="shared" si="267"/>
        <v>0</v>
      </c>
      <c r="AE305" s="379">
        <f t="shared" si="267"/>
        <v>0</v>
      </c>
      <c r="AF305" s="379">
        <f t="shared" si="267"/>
        <v>0</v>
      </c>
      <c r="AG305" s="379">
        <f t="shared" si="267"/>
        <v>0</v>
      </c>
      <c r="AH305" s="379">
        <f t="shared" si="267"/>
        <v>0</v>
      </c>
      <c r="AI305" s="379">
        <f t="shared" si="267"/>
        <v>0</v>
      </c>
      <c r="AJ305" s="379">
        <f t="shared" si="267"/>
        <v>0</v>
      </c>
      <c r="AK305" s="379">
        <f t="shared" si="267"/>
        <v>0</v>
      </c>
      <c r="AL305" s="379">
        <f t="shared" si="267"/>
        <v>0</v>
      </c>
      <c r="AM305" s="379">
        <f t="shared" si="267"/>
        <v>0</v>
      </c>
      <c r="AN305" s="490">
        <f t="shared" si="267"/>
        <v>0</v>
      </c>
      <c r="AO305" s="379">
        <f t="shared" si="267"/>
        <v>0</v>
      </c>
      <c r="AP305" s="379">
        <f t="shared" si="267"/>
        <v>0</v>
      </c>
      <c r="AQ305" s="379">
        <f t="shared" si="267"/>
        <v>0</v>
      </c>
      <c r="AR305" s="379">
        <f t="shared" si="267"/>
        <v>0</v>
      </c>
      <c r="AS305" s="379">
        <f t="shared" si="267"/>
        <v>0</v>
      </c>
      <c r="AT305" s="379">
        <f t="shared" si="267"/>
        <v>0</v>
      </c>
      <c r="AU305" s="379">
        <f t="shared" si="267"/>
        <v>0</v>
      </c>
      <c r="AV305" s="379">
        <f t="shared" si="267"/>
        <v>0</v>
      </c>
      <c r="AW305" s="379">
        <f t="shared" si="267"/>
        <v>0</v>
      </c>
      <c r="AX305" s="379">
        <f t="shared" si="267"/>
        <v>0</v>
      </c>
      <c r="AY305" s="379">
        <f t="shared" si="267"/>
        <v>0</v>
      </c>
    </row>
    <row r="306" spans="1:51" x14ac:dyDescent="0.2">
      <c r="A306" s="376"/>
      <c r="B306" s="383"/>
      <c r="C306" s="376" t="s">
        <v>268</v>
      </c>
      <c r="D306" s="376"/>
      <c r="E306" s="488"/>
      <c r="F306" s="384"/>
      <c r="G306" s="379">
        <f t="shared" ref="G306:AY306" si="268">AVERAGE(G235:G301)</f>
        <v>15231.373134328358</v>
      </c>
      <c r="H306" s="379">
        <f t="shared" si="268"/>
        <v>6797.7910447761196</v>
      </c>
      <c r="I306" s="379">
        <f t="shared" si="268"/>
        <v>317.85850746268653</v>
      </c>
      <c r="J306" s="379" t="e">
        <f t="shared" si="268"/>
        <v>#DIV/0!</v>
      </c>
      <c r="K306" s="379">
        <f t="shared" si="268"/>
        <v>5767.940298507463</v>
      </c>
      <c r="L306" s="379">
        <f t="shared" si="268"/>
        <v>0</v>
      </c>
      <c r="M306" s="379">
        <f t="shared" si="268"/>
        <v>5147.2686567164183</v>
      </c>
      <c r="N306" s="379">
        <f t="shared" si="268"/>
        <v>1578.2089552238806</v>
      </c>
      <c r="O306" s="379">
        <f t="shared" si="268"/>
        <v>1543.2089552238806</v>
      </c>
      <c r="P306" s="379">
        <f t="shared" si="268"/>
        <v>0</v>
      </c>
      <c r="Q306" s="379">
        <f t="shared" si="268"/>
        <v>0</v>
      </c>
      <c r="R306" s="379">
        <f t="shared" si="268"/>
        <v>0</v>
      </c>
      <c r="S306" s="379">
        <f t="shared" si="268"/>
        <v>0</v>
      </c>
      <c r="T306" s="379">
        <f t="shared" si="268"/>
        <v>0</v>
      </c>
      <c r="U306" s="379">
        <f t="shared" si="268"/>
        <v>0</v>
      </c>
      <c r="V306" s="379">
        <f t="shared" si="268"/>
        <v>0</v>
      </c>
      <c r="W306" s="379">
        <f t="shared" si="268"/>
        <v>0</v>
      </c>
      <c r="X306" s="379">
        <f t="shared" si="268"/>
        <v>0</v>
      </c>
      <c r="Y306" s="379">
        <f t="shared" si="268"/>
        <v>0</v>
      </c>
      <c r="Z306" s="379">
        <f t="shared" si="268"/>
        <v>0</v>
      </c>
      <c r="AA306" s="379">
        <f t="shared" si="268"/>
        <v>0</v>
      </c>
      <c r="AB306" s="379">
        <f t="shared" si="268"/>
        <v>0</v>
      </c>
      <c r="AC306" s="379">
        <f t="shared" si="268"/>
        <v>0</v>
      </c>
      <c r="AD306" s="379">
        <f t="shared" si="268"/>
        <v>0</v>
      </c>
      <c r="AE306" s="379">
        <f t="shared" si="268"/>
        <v>0</v>
      </c>
      <c r="AF306" s="379">
        <f t="shared" si="268"/>
        <v>0</v>
      </c>
      <c r="AG306" s="379">
        <f t="shared" si="268"/>
        <v>0</v>
      </c>
      <c r="AH306" s="379">
        <f t="shared" si="268"/>
        <v>0</v>
      </c>
      <c r="AI306" s="379">
        <f t="shared" si="268"/>
        <v>0</v>
      </c>
      <c r="AJ306" s="379">
        <f t="shared" si="268"/>
        <v>0</v>
      </c>
      <c r="AK306" s="379">
        <f t="shared" si="268"/>
        <v>0</v>
      </c>
      <c r="AL306" s="379">
        <f t="shared" si="268"/>
        <v>0</v>
      </c>
      <c r="AM306" s="379">
        <f t="shared" si="268"/>
        <v>0</v>
      </c>
      <c r="AN306" s="490">
        <f t="shared" si="268"/>
        <v>0</v>
      </c>
      <c r="AO306" s="379">
        <f t="shared" si="268"/>
        <v>0</v>
      </c>
      <c r="AP306" s="379">
        <f t="shared" si="268"/>
        <v>0</v>
      </c>
      <c r="AQ306" s="379">
        <f t="shared" si="268"/>
        <v>0</v>
      </c>
      <c r="AR306" s="379">
        <f t="shared" si="268"/>
        <v>0</v>
      </c>
      <c r="AS306" s="379">
        <f t="shared" si="268"/>
        <v>0</v>
      </c>
      <c r="AT306" s="379">
        <f t="shared" si="268"/>
        <v>0</v>
      </c>
      <c r="AU306" s="379">
        <f t="shared" si="268"/>
        <v>0</v>
      </c>
      <c r="AV306" s="379">
        <f t="shared" si="268"/>
        <v>0</v>
      </c>
      <c r="AW306" s="379">
        <f t="shared" si="268"/>
        <v>0</v>
      </c>
      <c r="AX306" s="379">
        <f t="shared" si="268"/>
        <v>0</v>
      </c>
      <c r="AY306" s="379">
        <f t="shared" si="268"/>
        <v>0</v>
      </c>
    </row>
    <row r="307" spans="1:51" ht="13.5" thickBot="1" x14ac:dyDescent="0.25">
      <c r="A307" s="386"/>
      <c r="B307" s="387"/>
      <c r="C307" s="386" t="s">
        <v>269</v>
      </c>
      <c r="D307" s="386"/>
      <c r="E307" s="491"/>
      <c r="F307" s="384"/>
      <c r="G307" s="388">
        <f t="shared" ref="G307:AY307" si="269">MEDIAN(G235:G301)</f>
        <v>9001</v>
      </c>
      <c r="H307" s="388">
        <f t="shared" si="269"/>
        <v>4164</v>
      </c>
      <c r="I307" s="388">
        <f t="shared" si="269"/>
        <v>310</v>
      </c>
      <c r="J307" s="388" t="e">
        <f t="shared" si="269"/>
        <v>#NUM!</v>
      </c>
      <c r="K307" s="388">
        <f t="shared" si="269"/>
        <v>3452</v>
      </c>
      <c r="L307" s="388">
        <f t="shared" si="269"/>
        <v>0</v>
      </c>
      <c r="M307" s="388">
        <f t="shared" si="269"/>
        <v>2880</v>
      </c>
      <c r="N307" s="388">
        <f t="shared" si="269"/>
        <v>0</v>
      </c>
      <c r="O307" s="388">
        <f t="shared" si="269"/>
        <v>0</v>
      </c>
      <c r="P307" s="388">
        <f t="shared" si="269"/>
        <v>0</v>
      </c>
      <c r="Q307" s="388">
        <f t="shared" si="269"/>
        <v>0</v>
      </c>
      <c r="R307" s="388">
        <f t="shared" si="269"/>
        <v>0</v>
      </c>
      <c r="S307" s="388">
        <f t="shared" si="269"/>
        <v>0</v>
      </c>
      <c r="T307" s="388">
        <f t="shared" si="269"/>
        <v>0</v>
      </c>
      <c r="U307" s="388">
        <f t="shared" si="269"/>
        <v>0</v>
      </c>
      <c r="V307" s="388">
        <f t="shared" si="269"/>
        <v>0</v>
      </c>
      <c r="W307" s="388">
        <f t="shared" si="269"/>
        <v>0</v>
      </c>
      <c r="X307" s="388">
        <f t="shared" si="269"/>
        <v>0</v>
      </c>
      <c r="Y307" s="388">
        <f t="shared" si="269"/>
        <v>0</v>
      </c>
      <c r="Z307" s="388">
        <f t="shared" si="269"/>
        <v>0</v>
      </c>
      <c r="AA307" s="388">
        <f t="shared" si="269"/>
        <v>0</v>
      </c>
      <c r="AB307" s="388">
        <f t="shared" si="269"/>
        <v>0</v>
      </c>
      <c r="AC307" s="388">
        <f t="shared" si="269"/>
        <v>0</v>
      </c>
      <c r="AD307" s="388">
        <f t="shared" si="269"/>
        <v>0</v>
      </c>
      <c r="AE307" s="388">
        <f t="shared" si="269"/>
        <v>0</v>
      </c>
      <c r="AF307" s="388">
        <f t="shared" si="269"/>
        <v>0</v>
      </c>
      <c r="AG307" s="388">
        <f t="shared" si="269"/>
        <v>0</v>
      </c>
      <c r="AH307" s="388">
        <f t="shared" si="269"/>
        <v>0</v>
      </c>
      <c r="AI307" s="388">
        <f t="shared" si="269"/>
        <v>0</v>
      </c>
      <c r="AJ307" s="388">
        <f t="shared" si="269"/>
        <v>0</v>
      </c>
      <c r="AK307" s="388">
        <f t="shared" si="269"/>
        <v>0</v>
      </c>
      <c r="AL307" s="388">
        <f t="shared" si="269"/>
        <v>0</v>
      </c>
      <c r="AM307" s="388">
        <f t="shared" si="269"/>
        <v>0</v>
      </c>
      <c r="AN307" s="492">
        <f t="shared" si="269"/>
        <v>0</v>
      </c>
      <c r="AO307" s="388">
        <f t="shared" si="269"/>
        <v>0</v>
      </c>
      <c r="AP307" s="388">
        <f t="shared" si="269"/>
        <v>0</v>
      </c>
      <c r="AQ307" s="388">
        <f t="shared" si="269"/>
        <v>0</v>
      </c>
      <c r="AR307" s="388">
        <f t="shared" si="269"/>
        <v>0</v>
      </c>
      <c r="AS307" s="388">
        <f t="shared" si="269"/>
        <v>0</v>
      </c>
      <c r="AT307" s="388">
        <f t="shared" si="269"/>
        <v>0</v>
      </c>
      <c r="AU307" s="388">
        <f t="shared" si="269"/>
        <v>0</v>
      </c>
      <c r="AV307" s="388">
        <f t="shared" si="269"/>
        <v>0</v>
      </c>
      <c r="AW307" s="388">
        <f t="shared" si="269"/>
        <v>0</v>
      </c>
      <c r="AX307" s="388">
        <f t="shared" si="269"/>
        <v>0</v>
      </c>
      <c r="AY307" s="388">
        <f t="shared" si="269"/>
        <v>0</v>
      </c>
    </row>
    <row r="308" spans="1:51" ht="13.5" thickTop="1" x14ac:dyDescent="0.2">
      <c r="B308" s="493" t="s">
        <v>261</v>
      </c>
      <c r="D308" s="278"/>
      <c r="E308" s="507"/>
      <c r="F308"/>
      <c r="G308"/>
      <c r="H308"/>
      <c r="I308"/>
      <c r="J308"/>
      <c r="K308"/>
      <c r="L308" s="278"/>
    </row>
    <row r="309" spans="1:51" x14ac:dyDescent="0.2">
      <c r="B309" s="493"/>
      <c r="G309" s="370"/>
      <c r="H309" s="370"/>
      <c r="I309" s="370"/>
      <c r="J309" s="370"/>
      <c r="K309" s="370"/>
      <c r="L309" s="370"/>
    </row>
    <row r="310" spans="1:51" ht="15.75" x14ac:dyDescent="0.25">
      <c r="A310" s="371" t="s">
        <v>262</v>
      </c>
      <c r="B310" s="372"/>
      <c r="C310" s="501"/>
      <c r="D310" s="506"/>
      <c r="E310" s="373"/>
      <c r="F310" s="374"/>
      <c r="G310" s="375"/>
      <c r="H310" s="375"/>
      <c r="I310" s="375"/>
      <c r="J310" s="375"/>
      <c r="K310" s="375"/>
      <c r="L310" s="375"/>
    </row>
    <row r="311" spans="1:51" x14ac:dyDescent="0.2">
      <c r="A311" s="376">
        <v>10050</v>
      </c>
      <c r="B311" s="378" t="str">
        <f t="shared" ref="B311:B342" si="270">VLOOKUP($A311,$A$5:$L$133,2,FALSE)</f>
        <v>Albury (C)</v>
      </c>
      <c r="C311" s="377" t="str">
        <f t="shared" ref="C311:C342" si="271">VLOOKUP($A311,$A$5:$L$133,3,FALSE)</f>
        <v>RAMROC Murray</v>
      </c>
      <c r="D311" s="503" t="str">
        <f t="shared" ref="D311:D342" si="272">VLOOKUP($A311,$A$5:$L$133,4,FALSE)</f>
        <v>N</v>
      </c>
      <c r="E311" s="503"/>
      <c r="F311"/>
      <c r="G311" s="379">
        <f t="shared" ref="G311:G342" si="273">VLOOKUP($A311,$A$5:$AY$132,7,FALSE)</f>
        <v>52411</v>
      </c>
      <c r="H311" s="379">
        <f t="shared" ref="H311:H342" si="274">VLOOKUP($A311,$A$5:$AY$132,8,FALSE)</f>
        <v>21678</v>
      </c>
      <c r="I311" s="379">
        <f t="shared" ref="I311:I342" si="275">VLOOKUP($A311,$A$5:$AY$132,9,FALSE)</f>
        <v>250</v>
      </c>
      <c r="J311" s="379" t="str">
        <f t="shared" ref="J311:J342" si="276">VLOOKUP($A311,$A$5:$AY$132,10,FALSE)</f>
        <v>Y</v>
      </c>
      <c r="K311" s="379">
        <f t="shared" ref="K311:K342" si="277">VLOOKUP($A311,$A$5:$AY$132,11,FALSE)</f>
        <v>22964</v>
      </c>
      <c r="L311" s="379">
        <f t="shared" ref="L311:L342" si="278">VLOOKUP($A311,$A$5:$AY$132,12,FALSE)</f>
        <v>0</v>
      </c>
      <c r="M311" s="379">
        <f t="shared" ref="M311:M342" si="279">VLOOKUP($A311,$A$4:$AY$132,13,FALSE)</f>
        <v>22964</v>
      </c>
      <c r="N311" s="379">
        <f t="shared" ref="N311:N342" si="280">VLOOKUP($A311,$A$4:$AY$132,14,FALSE)</f>
        <v>0</v>
      </c>
      <c r="O311" s="379">
        <f t="shared" ref="O311:O342" si="281">VLOOKUP($A311,$A$4:$AY$132,15,FALSE)</f>
        <v>22964</v>
      </c>
      <c r="P311" s="379">
        <f t="shared" ref="P311:P342" si="282">VLOOKUP($A311,$A$4:$AY$132,16,FALSE)</f>
        <v>0</v>
      </c>
      <c r="Q311" s="379" t="str">
        <f t="shared" ref="Q311:Q342" si="283">VLOOKUP($A311,$A$4:$AY$132,17,FALSE)</f>
        <v>Y</v>
      </c>
      <c r="R311" s="379" t="str">
        <f t="shared" ref="R311:R342" si="284">VLOOKUP($A311,$A$4:$AY$132,18,FALSE)</f>
        <v>AWMC</v>
      </c>
      <c r="S311" s="379">
        <f t="shared" ref="S311:S342" si="285">VLOOKUP($A311,$A$4:$AY$132,19,FALSE)</f>
        <v>0</v>
      </c>
      <c r="T311" s="379">
        <f t="shared" ref="T311:T342" si="286">VLOOKUP($A311,$A$4:$AY$132,20,FALSE)</f>
        <v>0</v>
      </c>
      <c r="U311" s="379">
        <f t="shared" ref="U311:U342" si="287">VLOOKUP($A311,$A$4:$AY$132,21,FALSE)</f>
        <v>0</v>
      </c>
      <c r="V311" s="379">
        <f t="shared" ref="V311:V342" si="288">VLOOKUP($A311,$A$4:$AY$132,22,FALSE)</f>
        <v>0</v>
      </c>
      <c r="W311" s="379">
        <f t="shared" ref="W311:W342" si="289">VLOOKUP($A311,$A$4:$AY$132,23,FALSE)</f>
        <v>0</v>
      </c>
      <c r="X311" s="379">
        <f t="shared" ref="X311:X342" si="290">VLOOKUP($A311,$A$4:$AY$132,24,FALSE)</f>
        <v>0</v>
      </c>
      <c r="Y311" s="379">
        <f t="shared" ref="Y311:Y342" si="291">VLOOKUP($A311,$A$4:$AY$132,25,FALSE)</f>
        <v>0</v>
      </c>
      <c r="Z311" s="379">
        <f t="shared" ref="Z311:Z342" si="292">VLOOKUP($A311,$A$4:$AY$132,26,FALSE)</f>
        <v>0</v>
      </c>
      <c r="AA311" s="379">
        <f t="shared" ref="AA311:AA342" si="293">VLOOKUP($A311,$A$4:$AY$132,27,FALSE)</f>
        <v>0</v>
      </c>
      <c r="AB311" s="379">
        <f t="shared" ref="AB311:AB342" si="294">VLOOKUP($A311,$A$4:$AY$132,28,FALSE)</f>
        <v>0</v>
      </c>
      <c r="AC311" s="379">
        <f t="shared" ref="AC311:AC342" si="295">VLOOKUP($A311,$A$4:$AY$132,29,FALSE)</f>
        <v>0</v>
      </c>
      <c r="AD311" s="379">
        <f t="shared" ref="AD311:AD342" si="296">VLOOKUP($A311,$A$4:$AY$132,30,FALSE)</f>
        <v>0</v>
      </c>
      <c r="AE311" s="379">
        <f t="shared" ref="AE311:AE342" si="297">VLOOKUP($A311,$A$4:$AY$132,31,FALSE)</f>
        <v>0</v>
      </c>
      <c r="AF311" s="379">
        <f t="shared" ref="AF311:AF342" si="298">VLOOKUP($A311,$A$4:$AY$132,32,FALSE)</f>
        <v>0</v>
      </c>
      <c r="AG311" s="379">
        <f t="shared" ref="AG311:AG342" si="299">VLOOKUP($A311,$A$4:$AY$132,33,FALSE)</f>
        <v>0</v>
      </c>
      <c r="AH311" s="379">
        <f t="shared" ref="AH311:AH342" si="300">VLOOKUP($A311,$A$4:$AY$132,34,FALSE)</f>
        <v>0</v>
      </c>
      <c r="AI311" s="379">
        <f t="shared" ref="AI311:AI342" si="301">VLOOKUP($A311,$A$4:$AY$132,35,FALSE)</f>
        <v>0</v>
      </c>
      <c r="AJ311" s="379">
        <f t="shared" ref="AJ311:AJ342" si="302">VLOOKUP($A311,$A$4:$AY$132,36,FALSE)</f>
        <v>0</v>
      </c>
      <c r="AK311" s="379">
        <f t="shared" ref="AK311:AK342" si="303">VLOOKUP($A311,$A$4:$AY$132,37,FALSE)</f>
        <v>0</v>
      </c>
      <c r="AL311" s="379">
        <f t="shared" ref="AL311:AL342" si="304">VLOOKUP($A311,$A$4:$AY$132,38,FALSE)</f>
        <v>0</v>
      </c>
      <c r="AM311" s="379">
        <f t="shared" ref="AM311:AM342" si="305">VLOOKUP($A311,$A$4:$AY$132,39,FALSE)</f>
        <v>0</v>
      </c>
      <c r="AN311" s="490">
        <f t="shared" ref="AN311:AN342" si="306">VLOOKUP($A311,$A$4:$AY$132,40,FALSE)</f>
        <v>0</v>
      </c>
      <c r="AO311" s="379">
        <f t="shared" ref="AO311:AO342" si="307">VLOOKUP($A311,$A$4:$AY$132,41,FALSE)</f>
        <v>0</v>
      </c>
      <c r="AP311" s="379">
        <f t="shared" ref="AP311:AP342" si="308">VLOOKUP($A311,$A$4:$AY$132,42,FALSE)</f>
        <v>0</v>
      </c>
      <c r="AQ311" s="379">
        <f t="shared" ref="AQ311:AQ342" si="309">VLOOKUP($A311,$A$4:$AY$132,43,FALSE)</f>
        <v>0</v>
      </c>
      <c r="AR311" s="379">
        <f t="shared" ref="AR311:AR342" si="310">VLOOKUP($A311,$A$4:$AY$132,44,FALSE)</f>
        <v>0</v>
      </c>
      <c r="AS311" s="379">
        <f t="shared" ref="AS311:AS342" si="311">VLOOKUP($A311,$A$4:$AY$132,45,FALSE)</f>
        <v>0</v>
      </c>
      <c r="AT311" s="379">
        <f t="shared" ref="AT311:AT342" si="312">VLOOKUP($A311,$A$4:$AY$132,46,FALSE)</f>
        <v>0</v>
      </c>
      <c r="AU311" s="379">
        <f t="shared" ref="AU311:AU342" si="313">VLOOKUP($A311,$A$4:$AY$132,47,FALSE)</f>
        <v>0</v>
      </c>
      <c r="AV311" s="379">
        <f t="shared" ref="AV311:AV342" si="314">VLOOKUP($A311,$A$4:$AY$132,48,FALSE)</f>
        <v>0</v>
      </c>
      <c r="AW311" s="379">
        <f t="shared" ref="AW311:AW342" si="315">VLOOKUP($A311,$A$4:$AY$132,49,FALSE)</f>
        <v>0</v>
      </c>
      <c r="AX311" s="379">
        <f t="shared" ref="AX311:AX342" si="316">VLOOKUP($A311,$A$4:$AY$132,50,FALSE)</f>
        <v>0</v>
      </c>
      <c r="AY311" s="379">
        <f t="shared" ref="AY311:AY342" si="317">VLOOKUP($A311,$A$4:$AY$132,51,FALSE)</f>
        <v>0</v>
      </c>
    </row>
    <row r="312" spans="1:51" x14ac:dyDescent="0.2">
      <c r="A312" s="376">
        <v>10130</v>
      </c>
      <c r="B312" s="378" t="str">
        <f t="shared" si="270"/>
        <v>Armidale Regional (A)</v>
      </c>
      <c r="C312" s="377" t="str">
        <f t="shared" si="271"/>
        <v>NIRW</v>
      </c>
      <c r="D312" s="503" t="str">
        <f t="shared" si="272"/>
        <v>N</v>
      </c>
      <c r="E312" s="503"/>
      <c r="F312"/>
      <c r="G312" s="379">
        <f t="shared" si="273"/>
        <v>30045</v>
      </c>
      <c r="H312" s="379">
        <f t="shared" si="274"/>
        <v>12098</v>
      </c>
      <c r="I312" s="379">
        <f t="shared" si="275"/>
        <v>321</v>
      </c>
      <c r="J312" s="379" t="str">
        <f t="shared" si="276"/>
        <v>Y</v>
      </c>
      <c r="K312" s="379">
        <f t="shared" si="277"/>
        <v>9781</v>
      </c>
      <c r="L312" s="379" t="str">
        <f t="shared" si="278"/>
        <v>Y</v>
      </c>
      <c r="M312" s="379">
        <f t="shared" si="279"/>
        <v>9256</v>
      </c>
      <c r="N312" s="379">
        <f t="shared" si="280"/>
        <v>0</v>
      </c>
      <c r="O312" s="379">
        <f t="shared" si="281"/>
        <v>8567</v>
      </c>
      <c r="P312" s="379">
        <f t="shared" si="282"/>
        <v>0</v>
      </c>
      <c r="Q312" s="379" t="str">
        <f t="shared" si="283"/>
        <v>Y</v>
      </c>
      <c r="R312" s="379" t="str">
        <f t="shared" si="284"/>
        <v>Guyra Waste Transfer Facility</v>
      </c>
      <c r="S312" s="379" t="str">
        <f t="shared" si="285"/>
        <v>Tilbuster Waste Transfer Station</v>
      </c>
      <c r="T312" s="379" t="str">
        <f t="shared" si="286"/>
        <v>Ebor Waste Transfer Station</v>
      </c>
      <c r="U312" s="379" t="str">
        <f t="shared" si="287"/>
        <v>Woollomombi Waste Transfer Station</v>
      </c>
      <c r="V312" s="379" t="str">
        <f t="shared" si="288"/>
        <v>Hillgrove Waste Transfer Station</v>
      </c>
      <c r="W312" s="379">
        <f t="shared" si="289"/>
        <v>0</v>
      </c>
      <c r="X312" s="379">
        <f t="shared" si="290"/>
        <v>0</v>
      </c>
      <c r="Y312" s="379">
        <f t="shared" si="291"/>
        <v>0</v>
      </c>
      <c r="Z312" s="379">
        <f t="shared" si="292"/>
        <v>0</v>
      </c>
      <c r="AA312" s="379">
        <f t="shared" si="293"/>
        <v>0</v>
      </c>
      <c r="AB312" s="379">
        <f t="shared" si="294"/>
        <v>0</v>
      </c>
      <c r="AC312" s="379">
        <f t="shared" si="295"/>
        <v>0</v>
      </c>
      <c r="AD312" s="379">
        <f t="shared" si="296"/>
        <v>0</v>
      </c>
      <c r="AE312" s="379">
        <f t="shared" si="297"/>
        <v>0</v>
      </c>
      <c r="AF312" s="379">
        <f t="shared" si="298"/>
        <v>0</v>
      </c>
      <c r="AG312" s="379">
        <f t="shared" si="299"/>
        <v>0</v>
      </c>
      <c r="AH312" s="379">
        <f t="shared" si="300"/>
        <v>0</v>
      </c>
      <c r="AI312" s="379">
        <f t="shared" si="301"/>
        <v>0</v>
      </c>
      <c r="AJ312" s="379">
        <f t="shared" si="302"/>
        <v>0</v>
      </c>
      <c r="AK312" s="379">
        <f t="shared" si="303"/>
        <v>0</v>
      </c>
      <c r="AL312" s="379">
        <f t="shared" si="304"/>
        <v>0</v>
      </c>
      <c r="AM312" s="379">
        <f t="shared" si="305"/>
        <v>0</v>
      </c>
      <c r="AN312" s="490">
        <f t="shared" si="306"/>
        <v>0</v>
      </c>
      <c r="AO312" s="379">
        <f t="shared" si="307"/>
        <v>0</v>
      </c>
      <c r="AP312" s="379">
        <f t="shared" si="308"/>
        <v>0</v>
      </c>
      <c r="AQ312" s="379">
        <f t="shared" si="309"/>
        <v>0</v>
      </c>
      <c r="AR312" s="379">
        <f t="shared" si="310"/>
        <v>0</v>
      </c>
      <c r="AS312" s="379">
        <f t="shared" si="311"/>
        <v>0</v>
      </c>
      <c r="AT312" s="379">
        <f t="shared" si="312"/>
        <v>0</v>
      </c>
      <c r="AU312" s="379">
        <f t="shared" si="313"/>
        <v>0</v>
      </c>
      <c r="AV312" s="379">
        <f t="shared" si="314"/>
        <v>0</v>
      </c>
      <c r="AW312" s="379">
        <f t="shared" si="315"/>
        <v>0</v>
      </c>
      <c r="AX312" s="379">
        <f t="shared" si="316"/>
        <v>0</v>
      </c>
      <c r="AY312" s="379">
        <f t="shared" si="317"/>
        <v>0</v>
      </c>
    </row>
    <row r="313" spans="1:51" x14ac:dyDescent="0.2">
      <c r="A313" s="376">
        <v>10250</v>
      </c>
      <c r="B313" s="378" t="str">
        <f t="shared" si="270"/>
        <v>Ballina (A)</v>
      </c>
      <c r="C313" s="377" t="str">
        <f t="shared" si="271"/>
        <v>NEWF</v>
      </c>
      <c r="D313" s="503" t="str">
        <f t="shared" si="272"/>
        <v>R</v>
      </c>
      <c r="E313" s="503"/>
      <c r="F313"/>
      <c r="G313" s="379">
        <f t="shared" si="273"/>
        <v>42556</v>
      </c>
      <c r="H313" s="379">
        <f t="shared" si="274"/>
        <v>17744</v>
      </c>
      <c r="I313" s="379">
        <f t="shared" si="275"/>
        <v>374</v>
      </c>
      <c r="J313" s="379" t="str">
        <f t="shared" si="276"/>
        <v>Y</v>
      </c>
      <c r="K313" s="379">
        <f t="shared" si="277"/>
        <v>17744</v>
      </c>
      <c r="L313" s="379">
        <f t="shared" si="278"/>
        <v>0</v>
      </c>
      <c r="M313" s="379">
        <f t="shared" si="279"/>
        <v>17744</v>
      </c>
      <c r="N313" s="379">
        <f t="shared" si="280"/>
        <v>0</v>
      </c>
      <c r="O313" s="379">
        <f t="shared" si="281"/>
        <v>14612</v>
      </c>
      <c r="P313" s="379">
        <f t="shared" si="282"/>
        <v>0</v>
      </c>
      <c r="Q313" s="379" t="str">
        <f t="shared" si="283"/>
        <v>Y</v>
      </c>
      <c r="R313" s="379" t="str">
        <f t="shared" si="284"/>
        <v>Ballina Waste Management Centre</v>
      </c>
      <c r="S313" s="379">
        <f t="shared" si="285"/>
        <v>0</v>
      </c>
      <c r="T313" s="379">
        <f t="shared" si="286"/>
        <v>0</v>
      </c>
      <c r="U313" s="379">
        <f t="shared" si="287"/>
        <v>0</v>
      </c>
      <c r="V313" s="379">
        <f t="shared" si="288"/>
        <v>0</v>
      </c>
      <c r="W313" s="379">
        <f t="shared" si="289"/>
        <v>0</v>
      </c>
      <c r="X313" s="379">
        <f t="shared" si="290"/>
        <v>0</v>
      </c>
      <c r="Y313" s="379">
        <f t="shared" si="291"/>
        <v>0</v>
      </c>
      <c r="Z313" s="379">
        <f t="shared" si="292"/>
        <v>0</v>
      </c>
      <c r="AA313" s="379">
        <f t="shared" si="293"/>
        <v>0</v>
      </c>
      <c r="AB313" s="379">
        <f t="shared" si="294"/>
        <v>0</v>
      </c>
      <c r="AC313" s="379">
        <f t="shared" si="295"/>
        <v>0</v>
      </c>
      <c r="AD313" s="379">
        <f t="shared" si="296"/>
        <v>0</v>
      </c>
      <c r="AE313" s="379">
        <f t="shared" si="297"/>
        <v>0</v>
      </c>
      <c r="AF313" s="379">
        <f t="shared" si="298"/>
        <v>0</v>
      </c>
      <c r="AG313" s="379">
        <f t="shared" si="299"/>
        <v>0</v>
      </c>
      <c r="AH313" s="379">
        <f t="shared" si="300"/>
        <v>0</v>
      </c>
      <c r="AI313" s="379">
        <f t="shared" si="301"/>
        <v>0</v>
      </c>
      <c r="AJ313" s="379">
        <f t="shared" si="302"/>
        <v>0</v>
      </c>
      <c r="AK313" s="379">
        <f t="shared" si="303"/>
        <v>0</v>
      </c>
      <c r="AL313" s="379">
        <f t="shared" si="304"/>
        <v>0</v>
      </c>
      <c r="AM313" s="379">
        <f t="shared" si="305"/>
        <v>0</v>
      </c>
      <c r="AN313" s="490">
        <f t="shared" si="306"/>
        <v>0</v>
      </c>
      <c r="AO313" s="379">
        <f t="shared" si="307"/>
        <v>0</v>
      </c>
      <c r="AP313" s="379">
        <f t="shared" si="308"/>
        <v>0</v>
      </c>
      <c r="AQ313" s="379">
        <f t="shared" si="309"/>
        <v>0</v>
      </c>
      <c r="AR313" s="379">
        <f t="shared" si="310"/>
        <v>0</v>
      </c>
      <c r="AS313" s="379">
        <f t="shared" si="311"/>
        <v>0</v>
      </c>
      <c r="AT313" s="379">
        <f t="shared" si="312"/>
        <v>0</v>
      </c>
      <c r="AU313" s="379">
        <f t="shared" si="313"/>
        <v>0</v>
      </c>
      <c r="AV313" s="379">
        <f t="shared" si="314"/>
        <v>0</v>
      </c>
      <c r="AW313" s="379">
        <f t="shared" si="315"/>
        <v>0</v>
      </c>
      <c r="AX313" s="379">
        <f t="shared" si="316"/>
        <v>0</v>
      </c>
      <c r="AY313" s="379">
        <f t="shared" si="317"/>
        <v>0</v>
      </c>
    </row>
    <row r="314" spans="1:51" x14ac:dyDescent="0.2">
      <c r="A314" s="376">
        <v>10300</v>
      </c>
      <c r="B314" s="378" t="str">
        <f t="shared" si="270"/>
        <v>Balranald (A)</v>
      </c>
      <c r="C314" s="377" t="str">
        <f t="shared" si="271"/>
        <v>RAMROC Murray</v>
      </c>
      <c r="D314" s="503" t="str">
        <f t="shared" si="272"/>
        <v>N</v>
      </c>
      <c r="E314" s="503"/>
      <c r="F314"/>
      <c r="G314" s="379">
        <f t="shared" si="273"/>
        <v>2385</v>
      </c>
      <c r="H314" s="379">
        <f t="shared" si="274"/>
        <v>1674</v>
      </c>
      <c r="I314" s="379">
        <f t="shared" si="275"/>
        <v>305</v>
      </c>
      <c r="J314" s="379" t="str">
        <f t="shared" si="276"/>
        <v>Y</v>
      </c>
      <c r="K314" s="379">
        <f t="shared" si="277"/>
        <v>708</v>
      </c>
      <c r="L314" s="379">
        <f t="shared" si="278"/>
        <v>0</v>
      </c>
      <c r="M314" s="379">
        <f t="shared" si="279"/>
        <v>0</v>
      </c>
      <c r="N314" s="379">
        <f t="shared" si="280"/>
        <v>0</v>
      </c>
      <c r="O314" s="379">
        <f t="shared" si="281"/>
        <v>0</v>
      </c>
      <c r="P314" s="379" t="str">
        <f t="shared" si="282"/>
        <v>Y</v>
      </c>
      <c r="Q314" s="379" t="str">
        <f t="shared" si="283"/>
        <v>Y</v>
      </c>
      <c r="R314" s="379" t="str">
        <f t="shared" si="284"/>
        <v>Balranald</v>
      </c>
      <c r="S314" s="379" t="str">
        <f t="shared" si="285"/>
        <v>Euston</v>
      </c>
      <c r="T314" s="379">
        <f t="shared" si="286"/>
        <v>0</v>
      </c>
      <c r="U314" s="379">
        <f t="shared" si="287"/>
        <v>0</v>
      </c>
      <c r="V314" s="379">
        <f t="shared" si="288"/>
        <v>0</v>
      </c>
      <c r="W314" s="379">
        <f t="shared" si="289"/>
        <v>0</v>
      </c>
      <c r="X314" s="379">
        <f t="shared" si="290"/>
        <v>0</v>
      </c>
      <c r="Y314" s="379">
        <f t="shared" si="291"/>
        <v>0</v>
      </c>
      <c r="Z314" s="379">
        <f t="shared" si="292"/>
        <v>0</v>
      </c>
      <c r="AA314" s="379">
        <f t="shared" si="293"/>
        <v>0</v>
      </c>
      <c r="AB314" s="379">
        <f t="shared" si="294"/>
        <v>0</v>
      </c>
      <c r="AC314" s="379">
        <f t="shared" si="295"/>
        <v>0</v>
      </c>
      <c r="AD314" s="379">
        <f t="shared" si="296"/>
        <v>0</v>
      </c>
      <c r="AE314" s="379">
        <f t="shared" si="297"/>
        <v>0</v>
      </c>
      <c r="AF314" s="379">
        <f t="shared" si="298"/>
        <v>0</v>
      </c>
      <c r="AG314" s="379">
        <f t="shared" si="299"/>
        <v>0</v>
      </c>
      <c r="AH314" s="379">
        <f t="shared" si="300"/>
        <v>0</v>
      </c>
      <c r="AI314" s="379">
        <f t="shared" si="301"/>
        <v>0</v>
      </c>
      <c r="AJ314" s="379">
        <f t="shared" si="302"/>
        <v>0</v>
      </c>
      <c r="AK314" s="379">
        <f t="shared" si="303"/>
        <v>0</v>
      </c>
      <c r="AL314" s="379">
        <f t="shared" si="304"/>
        <v>0</v>
      </c>
      <c r="AM314" s="379">
        <f t="shared" si="305"/>
        <v>0</v>
      </c>
      <c r="AN314" s="490">
        <f t="shared" si="306"/>
        <v>0</v>
      </c>
      <c r="AO314" s="379">
        <f t="shared" si="307"/>
        <v>0</v>
      </c>
      <c r="AP314" s="379">
        <f t="shared" si="308"/>
        <v>0</v>
      </c>
      <c r="AQ314" s="379">
        <f t="shared" si="309"/>
        <v>0</v>
      </c>
      <c r="AR314" s="379">
        <f t="shared" si="310"/>
        <v>0</v>
      </c>
      <c r="AS314" s="379">
        <f t="shared" si="311"/>
        <v>0</v>
      </c>
      <c r="AT314" s="379">
        <f t="shared" si="312"/>
        <v>0</v>
      </c>
      <c r="AU314" s="379">
        <f t="shared" si="313"/>
        <v>0</v>
      </c>
      <c r="AV314" s="379">
        <f t="shared" si="314"/>
        <v>0</v>
      </c>
      <c r="AW314" s="379">
        <f t="shared" si="315"/>
        <v>0</v>
      </c>
      <c r="AX314" s="379">
        <f t="shared" si="316"/>
        <v>0</v>
      </c>
      <c r="AY314" s="379">
        <f t="shared" si="317"/>
        <v>0</v>
      </c>
    </row>
    <row r="315" spans="1:51" x14ac:dyDescent="0.2">
      <c r="A315" s="376">
        <v>10470</v>
      </c>
      <c r="B315" s="378" t="str">
        <f t="shared" si="270"/>
        <v>Bathurst Regional (A)</v>
      </c>
      <c r="C315" s="377" t="str">
        <f t="shared" si="271"/>
        <v>NetWaste</v>
      </c>
      <c r="D315" s="503" t="str">
        <f t="shared" si="272"/>
        <v>N</v>
      </c>
      <c r="E315" s="503"/>
      <c r="F315"/>
      <c r="G315" s="379">
        <f t="shared" si="273"/>
        <v>43080</v>
      </c>
      <c r="H315" s="379">
        <f t="shared" si="274"/>
        <v>18326</v>
      </c>
      <c r="I315" s="379">
        <f t="shared" si="275"/>
        <v>368</v>
      </c>
      <c r="J315" s="379" t="str">
        <f t="shared" si="276"/>
        <v>Y</v>
      </c>
      <c r="K315" s="379">
        <f t="shared" si="277"/>
        <v>14710</v>
      </c>
      <c r="L315" s="379">
        <f t="shared" si="278"/>
        <v>0</v>
      </c>
      <c r="M315" s="379">
        <f t="shared" si="279"/>
        <v>14683</v>
      </c>
      <c r="N315" s="379">
        <f t="shared" si="280"/>
        <v>0</v>
      </c>
      <c r="O315" s="379">
        <f t="shared" si="281"/>
        <v>13168</v>
      </c>
      <c r="P315" s="379">
        <f t="shared" si="282"/>
        <v>0</v>
      </c>
      <c r="Q315" s="379" t="str">
        <f t="shared" si="283"/>
        <v>Y</v>
      </c>
      <c r="R315" s="379" t="str">
        <f t="shared" si="284"/>
        <v>Bathurst WMC</v>
      </c>
      <c r="S315" s="379" t="str">
        <f t="shared" si="285"/>
        <v>Sofala T/station</v>
      </c>
      <c r="T315" s="379" t="str">
        <f t="shared" si="286"/>
        <v>Sunny Corner T/station</v>
      </c>
      <c r="U315" s="379" t="str">
        <f t="shared" si="287"/>
        <v>Rockley T/station</v>
      </c>
      <c r="V315" s="379" t="str">
        <f t="shared" si="288"/>
        <v>Trunkey Creek T/station</v>
      </c>
      <c r="W315" s="379" t="str">
        <f t="shared" si="289"/>
        <v>Hill End tip</v>
      </c>
      <c r="X315" s="379">
        <f t="shared" si="290"/>
        <v>0</v>
      </c>
      <c r="Y315" s="379">
        <f t="shared" si="291"/>
        <v>0</v>
      </c>
      <c r="Z315" s="379">
        <f t="shared" si="292"/>
        <v>0</v>
      </c>
      <c r="AA315" s="379">
        <f t="shared" si="293"/>
        <v>0</v>
      </c>
      <c r="AB315" s="379">
        <f t="shared" si="294"/>
        <v>0</v>
      </c>
      <c r="AC315" s="379">
        <f t="shared" si="295"/>
        <v>0</v>
      </c>
      <c r="AD315" s="379">
        <f t="shared" si="296"/>
        <v>0</v>
      </c>
      <c r="AE315" s="379">
        <f t="shared" si="297"/>
        <v>0</v>
      </c>
      <c r="AF315" s="379">
        <f t="shared" si="298"/>
        <v>0</v>
      </c>
      <c r="AG315" s="379">
        <f t="shared" si="299"/>
        <v>0</v>
      </c>
      <c r="AH315" s="379">
        <f t="shared" si="300"/>
        <v>0</v>
      </c>
      <c r="AI315" s="379">
        <f t="shared" si="301"/>
        <v>0</v>
      </c>
      <c r="AJ315" s="379">
        <f t="shared" si="302"/>
        <v>0</v>
      </c>
      <c r="AK315" s="379">
        <f t="shared" si="303"/>
        <v>0</v>
      </c>
      <c r="AL315" s="379">
        <f t="shared" si="304"/>
        <v>0</v>
      </c>
      <c r="AM315" s="379">
        <f t="shared" si="305"/>
        <v>0</v>
      </c>
      <c r="AN315" s="490">
        <f t="shared" si="306"/>
        <v>0</v>
      </c>
      <c r="AO315" s="379">
        <f t="shared" si="307"/>
        <v>0</v>
      </c>
      <c r="AP315" s="379">
        <f t="shared" si="308"/>
        <v>0</v>
      </c>
      <c r="AQ315" s="379">
        <f t="shared" si="309"/>
        <v>0</v>
      </c>
      <c r="AR315" s="379">
        <f t="shared" si="310"/>
        <v>0</v>
      </c>
      <c r="AS315" s="379">
        <f t="shared" si="311"/>
        <v>0</v>
      </c>
      <c r="AT315" s="379">
        <f t="shared" si="312"/>
        <v>0</v>
      </c>
      <c r="AU315" s="379">
        <f t="shared" si="313"/>
        <v>0</v>
      </c>
      <c r="AV315" s="379">
        <f t="shared" si="314"/>
        <v>0</v>
      </c>
      <c r="AW315" s="379">
        <f t="shared" si="315"/>
        <v>0</v>
      </c>
      <c r="AX315" s="379">
        <f t="shared" si="316"/>
        <v>0</v>
      </c>
      <c r="AY315" s="379">
        <f t="shared" si="317"/>
        <v>0</v>
      </c>
    </row>
    <row r="316" spans="1:51" x14ac:dyDescent="0.2">
      <c r="A316" s="376">
        <v>10550</v>
      </c>
      <c r="B316" s="378" t="str">
        <f t="shared" si="270"/>
        <v>Bega Valley (A)</v>
      </c>
      <c r="C316" s="377" t="str">
        <f t="shared" si="271"/>
        <v>CBRJO</v>
      </c>
      <c r="D316" s="503" t="str">
        <f t="shared" si="272"/>
        <v>N</v>
      </c>
      <c r="E316" s="503"/>
      <c r="F316"/>
      <c r="G316" s="379">
        <f t="shared" si="273"/>
        <v>33662</v>
      </c>
      <c r="H316" s="379">
        <f t="shared" si="274"/>
        <v>17457</v>
      </c>
      <c r="I316" s="379">
        <f t="shared" si="275"/>
        <v>402.5</v>
      </c>
      <c r="J316" s="379" t="str">
        <f t="shared" si="276"/>
        <v>Y</v>
      </c>
      <c r="K316" s="379">
        <f t="shared" si="277"/>
        <v>16100</v>
      </c>
      <c r="L316" s="379">
        <f t="shared" si="278"/>
        <v>0</v>
      </c>
      <c r="M316" s="379">
        <f t="shared" si="279"/>
        <v>16100</v>
      </c>
      <c r="N316" s="379">
        <f t="shared" si="280"/>
        <v>12000</v>
      </c>
      <c r="O316" s="379">
        <f t="shared" si="281"/>
        <v>0</v>
      </c>
      <c r="P316" s="379">
        <f t="shared" si="282"/>
        <v>0</v>
      </c>
      <c r="Q316" s="379" t="str">
        <f t="shared" si="283"/>
        <v>Y</v>
      </c>
      <c r="R316" s="379" t="str">
        <f t="shared" si="284"/>
        <v>Merimbula</v>
      </c>
      <c r="S316" s="379" t="str">
        <f t="shared" si="285"/>
        <v>Bermagui</v>
      </c>
      <c r="T316" s="379" t="str">
        <f t="shared" si="286"/>
        <v>Eden</v>
      </c>
      <c r="U316" s="379" t="str">
        <f t="shared" si="287"/>
        <v>Wallagoot</v>
      </c>
      <c r="V316" s="379" t="str">
        <f t="shared" si="288"/>
        <v>Rural TS</v>
      </c>
      <c r="W316" s="379">
        <f t="shared" si="289"/>
        <v>0</v>
      </c>
      <c r="X316" s="379">
        <f t="shared" si="290"/>
        <v>0</v>
      </c>
      <c r="Y316" s="379">
        <f t="shared" si="291"/>
        <v>0</v>
      </c>
      <c r="Z316" s="379">
        <f t="shared" si="292"/>
        <v>0</v>
      </c>
      <c r="AA316" s="379">
        <f t="shared" si="293"/>
        <v>0</v>
      </c>
      <c r="AB316" s="379">
        <f t="shared" si="294"/>
        <v>0</v>
      </c>
      <c r="AC316" s="379">
        <f t="shared" si="295"/>
        <v>0</v>
      </c>
      <c r="AD316" s="379">
        <f t="shared" si="296"/>
        <v>0</v>
      </c>
      <c r="AE316" s="379">
        <f t="shared" si="297"/>
        <v>0</v>
      </c>
      <c r="AF316" s="379">
        <f t="shared" si="298"/>
        <v>0</v>
      </c>
      <c r="AG316" s="379">
        <f t="shared" si="299"/>
        <v>0</v>
      </c>
      <c r="AH316" s="379">
        <f t="shared" si="300"/>
        <v>0</v>
      </c>
      <c r="AI316" s="379">
        <f t="shared" si="301"/>
        <v>0</v>
      </c>
      <c r="AJ316" s="379">
        <f t="shared" si="302"/>
        <v>0</v>
      </c>
      <c r="AK316" s="379">
        <f t="shared" si="303"/>
        <v>0</v>
      </c>
      <c r="AL316" s="379">
        <f t="shared" si="304"/>
        <v>0</v>
      </c>
      <c r="AM316" s="379">
        <f t="shared" si="305"/>
        <v>0</v>
      </c>
      <c r="AN316" s="490">
        <f t="shared" si="306"/>
        <v>0</v>
      </c>
      <c r="AO316" s="379">
        <f t="shared" si="307"/>
        <v>0</v>
      </c>
      <c r="AP316" s="379">
        <f t="shared" si="308"/>
        <v>0</v>
      </c>
      <c r="AQ316" s="379">
        <f t="shared" si="309"/>
        <v>0</v>
      </c>
      <c r="AR316" s="379">
        <f t="shared" si="310"/>
        <v>0</v>
      </c>
      <c r="AS316" s="379">
        <f t="shared" si="311"/>
        <v>0</v>
      </c>
      <c r="AT316" s="379">
        <f t="shared" si="312"/>
        <v>0</v>
      </c>
      <c r="AU316" s="379">
        <f t="shared" si="313"/>
        <v>0</v>
      </c>
      <c r="AV316" s="379">
        <f t="shared" si="314"/>
        <v>0</v>
      </c>
      <c r="AW316" s="379">
        <f t="shared" si="315"/>
        <v>0</v>
      </c>
      <c r="AX316" s="379">
        <f t="shared" si="316"/>
        <v>0</v>
      </c>
      <c r="AY316" s="379">
        <f t="shared" si="317"/>
        <v>0</v>
      </c>
    </row>
    <row r="317" spans="1:51" x14ac:dyDescent="0.2">
      <c r="A317" s="376">
        <v>10600</v>
      </c>
      <c r="B317" s="378" t="str">
        <f t="shared" si="270"/>
        <v>Bellingen (A)</v>
      </c>
      <c r="C317" s="377" t="str">
        <f t="shared" si="271"/>
        <v>MidWaste</v>
      </c>
      <c r="D317" s="503" t="str">
        <f t="shared" si="272"/>
        <v>R</v>
      </c>
      <c r="E317" s="503"/>
      <c r="F317"/>
      <c r="G317" s="379">
        <f t="shared" si="273"/>
        <v>13066</v>
      </c>
      <c r="H317" s="379">
        <f t="shared" si="274"/>
        <v>5911</v>
      </c>
      <c r="I317" s="379">
        <f t="shared" si="275"/>
        <v>659</v>
      </c>
      <c r="J317" s="379" t="str">
        <f t="shared" si="276"/>
        <v>Y</v>
      </c>
      <c r="K317" s="379">
        <f t="shared" si="277"/>
        <v>4045</v>
      </c>
      <c r="L317" s="379" t="str">
        <f t="shared" si="278"/>
        <v>Y</v>
      </c>
      <c r="M317" s="379">
        <f t="shared" si="279"/>
        <v>4045</v>
      </c>
      <c r="N317" s="379">
        <f t="shared" si="280"/>
        <v>0</v>
      </c>
      <c r="O317" s="379">
        <f t="shared" si="281"/>
        <v>4045</v>
      </c>
      <c r="P317" s="379" t="str">
        <f t="shared" si="282"/>
        <v>Y</v>
      </c>
      <c r="Q317" s="379" t="str">
        <f t="shared" si="283"/>
        <v>Y</v>
      </c>
      <c r="R317" s="379" t="str">
        <f t="shared" si="284"/>
        <v>Raleigh Waste Management Centre</v>
      </c>
      <c r="S317" s="379" t="str">
        <f t="shared" si="285"/>
        <v>Bellingen Transfer Station</v>
      </c>
      <c r="T317" s="379" t="str">
        <f t="shared" si="286"/>
        <v>Dorrigo Waste Management Centre</v>
      </c>
      <c r="U317" s="379">
        <f t="shared" si="287"/>
        <v>0</v>
      </c>
      <c r="V317" s="379">
        <f t="shared" si="288"/>
        <v>0</v>
      </c>
      <c r="W317" s="379">
        <f t="shared" si="289"/>
        <v>0</v>
      </c>
      <c r="X317" s="379">
        <f t="shared" si="290"/>
        <v>0</v>
      </c>
      <c r="Y317" s="379">
        <f t="shared" si="291"/>
        <v>0</v>
      </c>
      <c r="Z317" s="379">
        <f t="shared" si="292"/>
        <v>0</v>
      </c>
      <c r="AA317" s="379">
        <f t="shared" si="293"/>
        <v>0</v>
      </c>
      <c r="AB317" s="379">
        <f t="shared" si="294"/>
        <v>0</v>
      </c>
      <c r="AC317" s="379">
        <f t="shared" si="295"/>
        <v>0</v>
      </c>
      <c r="AD317" s="379">
        <f t="shared" si="296"/>
        <v>0</v>
      </c>
      <c r="AE317" s="379">
        <f t="shared" si="297"/>
        <v>0</v>
      </c>
      <c r="AF317" s="379">
        <f t="shared" si="298"/>
        <v>0</v>
      </c>
      <c r="AG317" s="379">
        <f t="shared" si="299"/>
        <v>0</v>
      </c>
      <c r="AH317" s="379">
        <f t="shared" si="300"/>
        <v>0</v>
      </c>
      <c r="AI317" s="379">
        <f t="shared" si="301"/>
        <v>0</v>
      </c>
      <c r="AJ317" s="379">
        <f t="shared" si="302"/>
        <v>0</v>
      </c>
      <c r="AK317" s="379">
        <f t="shared" si="303"/>
        <v>0</v>
      </c>
      <c r="AL317" s="379">
        <f t="shared" si="304"/>
        <v>0</v>
      </c>
      <c r="AM317" s="379">
        <f t="shared" si="305"/>
        <v>0</v>
      </c>
      <c r="AN317" s="490">
        <f t="shared" si="306"/>
        <v>0</v>
      </c>
      <c r="AO317" s="379">
        <f t="shared" si="307"/>
        <v>0</v>
      </c>
      <c r="AP317" s="379">
        <f t="shared" si="308"/>
        <v>0</v>
      </c>
      <c r="AQ317" s="379">
        <f t="shared" si="309"/>
        <v>0</v>
      </c>
      <c r="AR317" s="379">
        <f t="shared" si="310"/>
        <v>0</v>
      </c>
      <c r="AS317" s="379">
        <f t="shared" si="311"/>
        <v>0</v>
      </c>
      <c r="AT317" s="379">
        <f t="shared" si="312"/>
        <v>0</v>
      </c>
      <c r="AU317" s="379">
        <f t="shared" si="313"/>
        <v>0</v>
      </c>
      <c r="AV317" s="379">
        <f t="shared" si="314"/>
        <v>0</v>
      </c>
      <c r="AW317" s="379">
        <f t="shared" si="315"/>
        <v>0</v>
      </c>
      <c r="AX317" s="379">
        <f t="shared" si="316"/>
        <v>0</v>
      </c>
      <c r="AY317" s="379">
        <f t="shared" si="317"/>
        <v>0</v>
      </c>
    </row>
    <row r="318" spans="1:51" x14ac:dyDescent="0.2">
      <c r="A318" s="376">
        <v>10650</v>
      </c>
      <c r="B318" s="378" t="str">
        <f t="shared" si="270"/>
        <v>Berrigan (A)</v>
      </c>
      <c r="C318" s="377" t="str">
        <f t="shared" si="271"/>
        <v>RAMROC Murray</v>
      </c>
      <c r="D318" s="503" t="str">
        <f t="shared" si="272"/>
        <v>N</v>
      </c>
      <c r="E318" s="503"/>
      <c r="F318"/>
      <c r="G318" s="379">
        <f t="shared" si="273"/>
        <v>8420</v>
      </c>
      <c r="H318" s="379">
        <f t="shared" si="274"/>
        <v>3549</v>
      </c>
      <c r="I318" s="379">
        <f t="shared" si="275"/>
        <v>279</v>
      </c>
      <c r="J318" s="379" t="str">
        <f t="shared" si="276"/>
        <v>Y</v>
      </c>
      <c r="K318" s="379">
        <f t="shared" si="277"/>
        <v>3404</v>
      </c>
      <c r="L318" s="379">
        <f t="shared" si="278"/>
        <v>0</v>
      </c>
      <c r="M318" s="379">
        <f t="shared" si="279"/>
        <v>3404</v>
      </c>
      <c r="N318" s="379">
        <f t="shared" si="280"/>
        <v>0</v>
      </c>
      <c r="O318" s="379">
        <f t="shared" si="281"/>
        <v>0</v>
      </c>
      <c r="P318" s="379">
        <f t="shared" si="282"/>
        <v>0</v>
      </c>
      <c r="Q318" s="379" t="str">
        <f t="shared" si="283"/>
        <v>Y</v>
      </c>
      <c r="R318" s="379" t="str">
        <f t="shared" si="284"/>
        <v>Berrigan Landfill</v>
      </c>
      <c r="S318" s="379" t="str">
        <f t="shared" si="285"/>
        <v>Tocumwal Landfill</v>
      </c>
      <c r="T318" s="379">
        <f t="shared" si="286"/>
        <v>0</v>
      </c>
      <c r="U318" s="379">
        <f t="shared" si="287"/>
        <v>0</v>
      </c>
      <c r="V318" s="379">
        <f t="shared" si="288"/>
        <v>0</v>
      </c>
      <c r="W318" s="379">
        <f t="shared" si="289"/>
        <v>0</v>
      </c>
      <c r="X318" s="379">
        <f t="shared" si="290"/>
        <v>0</v>
      </c>
      <c r="Y318" s="379">
        <f t="shared" si="291"/>
        <v>0</v>
      </c>
      <c r="Z318" s="379">
        <f t="shared" si="292"/>
        <v>0</v>
      </c>
      <c r="AA318" s="379">
        <f t="shared" si="293"/>
        <v>0</v>
      </c>
      <c r="AB318" s="379">
        <f t="shared" si="294"/>
        <v>0</v>
      </c>
      <c r="AC318" s="379">
        <f t="shared" si="295"/>
        <v>0</v>
      </c>
      <c r="AD318" s="379">
        <f t="shared" si="296"/>
        <v>0</v>
      </c>
      <c r="AE318" s="379">
        <f t="shared" si="297"/>
        <v>0</v>
      </c>
      <c r="AF318" s="379">
        <f t="shared" si="298"/>
        <v>0</v>
      </c>
      <c r="AG318" s="379">
        <f t="shared" si="299"/>
        <v>0</v>
      </c>
      <c r="AH318" s="379">
        <f t="shared" si="300"/>
        <v>0</v>
      </c>
      <c r="AI318" s="379">
        <f t="shared" si="301"/>
        <v>0</v>
      </c>
      <c r="AJ318" s="379">
        <f t="shared" si="302"/>
        <v>0</v>
      </c>
      <c r="AK318" s="379">
        <f t="shared" si="303"/>
        <v>0</v>
      </c>
      <c r="AL318" s="379">
        <f t="shared" si="304"/>
        <v>0</v>
      </c>
      <c r="AM318" s="379">
        <f t="shared" si="305"/>
        <v>0</v>
      </c>
      <c r="AN318" s="490">
        <f t="shared" si="306"/>
        <v>0</v>
      </c>
      <c r="AO318" s="379">
        <f t="shared" si="307"/>
        <v>0</v>
      </c>
      <c r="AP318" s="379">
        <f t="shared" si="308"/>
        <v>0</v>
      </c>
      <c r="AQ318" s="379">
        <f t="shared" si="309"/>
        <v>0</v>
      </c>
      <c r="AR318" s="379">
        <f t="shared" si="310"/>
        <v>0</v>
      </c>
      <c r="AS318" s="379">
        <f t="shared" si="311"/>
        <v>0</v>
      </c>
      <c r="AT318" s="379">
        <f t="shared" si="312"/>
        <v>0</v>
      </c>
      <c r="AU318" s="379">
        <f t="shared" si="313"/>
        <v>0</v>
      </c>
      <c r="AV318" s="379">
        <f t="shared" si="314"/>
        <v>0</v>
      </c>
      <c r="AW318" s="379">
        <f t="shared" si="315"/>
        <v>0</v>
      </c>
      <c r="AX318" s="379">
        <f t="shared" si="316"/>
        <v>0</v>
      </c>
      <c r="AY318" s="379">
        <f t="shared" si="317"/>
        <v>0</v>
      </c>
    </row>
    <row r="319" spans="1:51" x14ac:dyDescent="0.2">
      <c r="A319" s="376">
        <v>10800</v>
      </c>
      <c r="B319" s="378" t="str">
        <f t="shared" si="270"/>
        <v>Bland (A)</v>
      </c>
      <c r="C319" s="377" t="str">
        <f t="shared" si="271"/>
        <v>REROC</v>
      </c>
      <c r="D319" s="503" t="str">
        <f t="shared" si="272"/>
        <v>N</v>
      </c>
      <c r="E319" s="503"/>
      <c r="F319"/>
      <c r="G319" s="379">
        <f t="shared" si="273"/>
        <v>5917</v>
      </c>
      <c r="H319" s="379">
        <f t="shared" si="274"/>
        <v>3516</v>
      </c>
      <c r="I319" s="379">
        <f t="shared" si="275"/>
        <v>344</v>
      </c>
      <c r="J319" s="379" t="str">
        <f t="shared" si="276"/>
        <v>Y</v>
      </c>
      <c r="K319" s="379">
        <f t="shared" si="277"/>
        <v>2140</v>
      </c>
      <c r="L319" s="379">
        <f t="shared" si="278"/>
        <v>0</v>
      </c>
      <c r="M319" s="379">
        <f t="shared" si="279"/>
        <v>0</v>
      </c>
      <c r="N319" s="379">
        <f t="shared" si="280"/>
        <v>0</v>
      </c>
      <c r="O319" s="379">
        <f t="shared" si="281"/>
        <v>0</v>
      </c>
      <c r="P319" s="379">
        <f t="shared" si="282"/>
        <v>0</v>
      </c>
      <c r="Q319" s="379" t="str">
        <f t="shared" si="283"/>
        <v>Y</v>
      </c>
      <c r="R319" s="379" t="str">
        <f t="shared" si="284"/>
        <v>West Wyalong Landfill</v>
      </c>
      <c r="S319" s="379">
        <f t="shared" si="285"/>
        <v>0</v>
      </c>
      <c r="T319" s="379">
        <f t="shared" si="286"/>
        <v>0</v>
      </c>
      <c r="U319" s="379">
        <f t="shared" si="287"/>
        <v>0</v>
      </c>
      <c r="V319" s="379">
        <f t="shared" si="288"/>
        <v>0</v>
      </c>
      <c r="W319" s="379">
        <f t="shared" si="289"/>
        <v>0</v>
      </c>
      <c r="X319" s="379">
        <f t="shared" si="290"/>
        <v>0</v>
      </c>
      <c r="Y319" s="379">
        <f t="shared" si="291"/>
        <v>0</v>
      </c>
      <c r="Z319" s="379">
        <f t="shared" si="292"/>
        <v>0</v>
      </c>
      <c r="AA319" s="379">
        <f t="shared" si="293"/>
        <v>0</v>
      </c>
      <c r="AB319" s="379">
        <f t="shared" si="294"/>
        <v>0</v>
      </c>
      <c r="AC319" s="379">
        <f t="shared" si="295"/>
        <v>0</v>
      </c>
      <c r="AD319" s="379">
        <f t="shared" si="296"/>
        <v>0</v>
      </c>
      <c r="AE319" s="379">
        <f t="shared" si="297"/>
        <v>0</v>
      </c>
      <c r="AF319" s="379">
        <f t="shared" si="298"/>
        <v>0</v>
      </c>
      <c r="AG319" s="379">
        <f t="shared" si="299"/>
        <v>0</v>
      </c>
      <c r="AH319" s="379">
        <f t="shared" si="300"/>
        <v>0</v>
      </c>
      <c r="AI319" s="379">
        <f t="shared" si="301"/>
        <v>0</v>
      </c>
      <c r="AJ319" s="379">
        <f t="shared" si="302"/>
        <v>0</v>
      </c>
      <c r="AK319" s="379">
        <f t="shared" si="303"/>
        <v>0</v>
      </c>
      <c r="AL319" s="379">
        <f t="shared" si="304"/>
        <v>0</v>
      </c>
      <c r="AM319" s="379">
        <f t="shared" si="305"/>
        <v>0</v>
      </c>
      <c r="AN319" s="490">
        <f t="shared" si="306"/>
        <v>0</v>
      </c>
      <c r="AO319" s="379">
        <f t="shared" si="307"/>
        <v>0</v>
      </c>
      <c r="AP319" s="379">
        <f t="shared" si="308"/>
        <v>0</v>
      </c>
      <c r="AQ319" s="379">
        <f t="shared" si="309"/>
        <v>0</v>
      </c>
      <c r="AR319" s="379">
        <f t="shared" si="310"/>
        <v>0</v>
      </c>
      <c r="AS319" s="379">
        <f t="shared" si="311"/>
        <v>0</v>
      </c>
      <c r="AT319" s="379">
        <f t="shared" si="312"/>
        <v>0</v>
      </c>
      <c r="AU319" s="379">
        <f t="shared" si="313"/>
        <v>0</v>
      </c>
      <c r="AV319" s="379">
        <f t="shared" si="314"/>
        <v>0</v>
      </c>
      <c r="AW319" s="379">
        <f t="shared" si="315"/>
        <v>0</v>
      </c>
      <c r="AX319" s="379">
        <f t="shared" si="316"/>
        <v>0</v>
      </c>
      <c r="AY319" s="379">
        <f t="shared" si="317"/>
        <v>0</v>
      </c>
    </row>
    <row r="320" spans="1:51" x14ac:dyDescent="0.2">
      <c r="A320" s="376">
        <v>10850</v>
      </c>
      <c r="B320" s="378" t="str">
        <f t="shared" si="270"/>
        <v>Blayney (A)</v>
      </c>
      <c r="C320" s="377" t="str">
        <f t="shared" si="271"/>
        <v>NetWaste</v>
      </c>
      <c r="D320" s="503" t="str">
        <f t="shared" si="272"/>
        <v>N</v>
      </c>
      <c r="E320" s="503"/>
      <c r="F320"/>
      <c r="G320" s="379">
        <f t="shared" si="273"/>
        <v>7457</v>
      </c>
      <c r="H320" s="379">
        <f t="shared" si="274"/>
        <v>3550</v>
      </c>
      <c r="I320" s="379">
        <f t="shared" si="275"/>
        <v>412</v>
      </c>
      <c r="J320" s="379" t="str">
        <f t="shared" si="276"/>
        <v>Y</v>
      </c>
      <c r="K320" s="379">
        <f t="shared" si="277"/>
        <v>3452</v>
      </c>
      <c r="L320" s="379">
        <f t="shared" si="278"/>
        <v>0</v>
      </c>
      <c r="M320" s="379">
        <f t="shared" si="279"/>
        <v>2521</v>
      </c>
      <c r="N320" s="379">
        <f t="shared" si="280"/>
        <v>0</v>
      </c>
      <c r="O320" s="379">
        <f t="shared" si="281"/>
        <v>0</v>
      </c>
      <c r="P320" s="379" t="str">
        <f t="shared" si="282"/>
        <v>Y</v>
      </c>
      <c r="Q320" s="379" t="str">
        <f t="shared" si="283"/>
        <v>Y</v>
      </c>
      <c r="R320" s="379" t="str">
        <f t="shared" si="284"/>
        <v>Blayney Waste Facility</v>
      </c>
      <c r="S320" s="379">
        <f t="shared" si="285"/>
        <v>0</v>
      </c>
      <c r="T320" s="379">
        <f t="shared" si="286"/>
        <v>0</v>
      </c>
      <c r="U320" s="379">
        <f t="shared" si="287"/>
        <v>0</v>
      </c>
      <c r="V320" s="379">
        <f t="shared" si="288"/>
        <v>0</v>
      </c>
      <c r="W320" s="379">
        <f t="shared" si="289"/>
        <v>0</v>
      </c>
      <c r="X320" s="379">
        <f t="shared" si="290"/>
        <v>0</v>
      </c>
      <c r="Y320" s="379">
        <f t="shared" si="291"/>
        <v>0</v>
      </c>
      <c r="Z320" s="379">
        <f t="shared" si="292"/>
        <v>0</v>
      </c>
      <c r="AA320" s="379">
        <f t="shared" si="293"/>
        <v>0</v>
      </c>
      <c r="AB320" s="379">
        <f t="shared" si="294"/>
        <v>0</v>
      </c>
      <c r="AC320" s="379">
        <f t="shared" si="295"/>
        <v>0</v>
      </c>
      <c r="AD320" s="379">
        <f t="shared" si="296"/>
        <v>0</v>
      </c>
      <c r="AE320" s="379">
        <f t="shared" si="297"/>
        <v>0</v>
      </c>
      <c r="AF320" s="379">
        <f t="shared" si="298"/>
        <v>0</v>
      </c>
      <c r="AG320" s="379">
        <f t="shared" si="299"/>
        <v>0</v>
      </c>
      <c r="AH320" s="379">
        <f t="shared" si="300"/>
        <v>0</v>
      </c>
      <c r="AI320" s="379">
        <f t="shared" si="301"/>
        <v>0</v>
      </c>
      <c r="AJ320" s="379">
        <f t="shared" si="302"/>
        <v>0</v>
      </c>
      <c r="AK320" s="379">
        <f t="shared" si="303"/>
        <v>0</v>
      </c>
      <c r="AL320" s="379">
        <f t="shared" si="304"/>
        <v>0</v>
      </c>
      <c r="AM320" s="379">
        <f t="shared" si="305"/>
        <v>0</v>
      </c>
      <c r="AN320" s="490">
        <f t="shared" si="306"/>
        <v>0</v>
      </c>
      <c r="AO320" s="379">
        <f t="shared" si="307"/>
        <v>0</v>
      </c>
      <c r="AP320" s="379">
        <f t="shared" si="308"/>
        <v>0</v>
      </c>
      <c r="AQ320" s="379">
        <f t="shared" si="309"/>
        <v>0</v>
      </c>
      <c r="AR320" s="379">
        <f t="shared" si="310"/>
        <v>0</v>
      </c>
      <c r="AS320" s="379">
        <f t="shared" si="311"/>
        <v>0</v>
      </c>
      <c r="AT320" s="379">
        <f t="shared" si="312"/>
        <v>0</v>
      </c>
      <c r="AU320" s="379">
        <f t="shared" si="313"/>
        <v>0</v>
      </c>
      <c r="AV320" s="379">
        <f t="shared" si="314"/>
        <v>0</v>
      </c>
      <c r="AW320" s="379">
        <f t="shared" si="315"/>
        <v>0</v>
      </c>
      <c r="AX320" s="379">
        <f t="shared" si="316"/>
        <v>0</v>
      </c>
      <c r="AY320" s="379">
        <f t="shared" si="317"/>
        <v>0</v>
      </c>
    </row>
    <row r="321" spans="1:51" x14ac:dyDescent="0.2">
      <c r="A321" s="376">
        <v>10900</v>
      </c>
      <c r="B321" s="378" t="str">
        <f t="shared" si="270"/>
        <v>Blue Mountains (C)</v>
      </c>
      <c r="C321" s="377" t="str">
        <f t="shared" si="271"/>
        <v>WSROC</v>
      </c>
      <c r="D321" s="503" t="str">
        <f t="shared" si="272"/>
        <v>R</v>
      </c>
      <c r="E321" s="503"/>
      <c r="F321"/>
      <c r="G321" s="379">
        <f t="shared" si="273"/>
        <v>80072</v>
      </c>
      <c r="H321" s="379">
        <f t="shared" si="274"/>
        <v>34388</v>
      </c>
      <c r="I321" s="379">
        <f t="shared" si="275"/>
        <v>390</v>
      </c>
      <c r="J321" s="379" t="str">
        <f t="shared" si="276"/>
        <v>Y</v>
      </c>
      <c r="K321" s="379">
        <f t="shared" si="277"/>
        <v>33871</v>
      </c>
      <c r="L321" s="379">
        <f t="shared" si="278"/>
        <v>0</v>
      </c>
      <c r="M321" s="379">
        <f t="shared" si="279"/>
        <v>33840</v>
      </c>
      <c r="N321" s="379">
        <f t="shared" si="280"/>
        <v>33769</v>
      </c>
      <c r="O321" s="379">
        <f t="shared" si="281"/>
        <v>0</v>
      </c>
      <c r="P321" s="379" t="str">
        <f t="shared" si="282"/>
        <v>Y</v>
      </c>
      <c r="Q321" s="379" t="str">
        <f t="shared" si="283"/>
        <v>Y</v>
      </c>
      <c r="R321" s="379" t="str">
        <f t="shared" si="284"/>
        <v xml:space="preserve">Katoomba Waste and Resource Recovery Facility  </v>
      </c>
      <c r="S321" s="379" t="str">
        <f t="shared" si="285"/>
        <v>Blaxland Waste and Resource Recovery Facility</v>
      </c>
      <c r="T321" s="379">
        <f t="shared" si="286"/>
        <v>0</v>
      </c>
      <c r="U321" s="379">
        <f t="shared" si="287"/>
        <v>0</v>
      </c>
      <c r="V321" s="379">
        <f t="shared" si="288"/>
        <v>0</v>
      </c>
      <c r="W321" s="379">
        <f t="shared" si="289"/>
        <v>0</v>
      </c>
      <c r="X321" s="379">
        <f t="shared" si="290"/>
        <v>0</v>
      </c>
      <c r="Y321" s="379">
        <f t="shared" si="291"/>
        <v>0</v>
      </c>
      <c r="Z321" s="379">
        <f t="shared" si="292"/>
        <v>0</v>
      </c>
      <c r="AA321" s="379">
        <f t="shared" si="293"/>
        <v>0</v>
      </c>
      <c r="AB321" s="379">
        <f t="shared" si="294"/>
        <v>0</v>
      </c>
      <c r="AC321" s="379">
        <f t="shared" si="295"/>
        <v>0</v>
      </c>
      <c r="AD321" s="379">
        <f t="shared" si="296"/>
        <v>0</v>
      </c>
      <c r="AE321" s="379">
        <f t="shared" si="297"/>
        <v>0</v>
      </c>
      <c r="AF321" s="379">
        <f t="shared" si="298"/>
        <v>0</v>
      </c>
      <c r="AG321" s="379">
        <f t="shared" si="299"/>
        <v>0</v>
      </c>
      <c r="AH321" s="379">
        <f t="shared" si="300"/>
        <v>0</v>
      </c>
      <c r="AI321" s="379">
        <f t="shared" si="301"/>
        <v>0</v>
      </c>
      <c r="AJ321" s="379">
        <f t="shared" si="302"/>
        <v>0</v>
      </c>
      <c r="AK321" s="379">
        <f t="shared" si="303"/>
        <v>0</v>
      </c>
      <c r="AL321" s="379">
        <f t="shared" si="304"/>
        <v>0</v>
      </c>
      <c r="AM321" s="379">
        <f t="shared" si="305"/>
        <v>0</v>
      </c>
      <c r="AN321" s="490">
        <f t="shared" si="306"/>
        <v>0</v>
      </c>
      <c r="AO321" s="379">
        <f t="shared" si="307"/>
        <v>0</v>
      </c>
      <c r="AP321" s="379">
        <f t="shared" si="308"/>
        <v>0</v>
      </c>
      <c r="AQ321" s="379">
        <f t="shared" si="309"/>
        <v>0</v>
      </c>
      <c r="AR321" s="379">
        <f t="shared" si="310"/>
        <v>0</v>
      </c>
      <c r="AS321" s="379">
        <f t="shared" si="311"/>
        <v>0</v>
      </c>
      <c r="AT321" s="379">
        <f t="shared" si="312"/>
        <v>0</v>
      </c>
      <c r="AU321" s="379">
        <f t="shared" si="313"/>
        <v>0</v>
      </c>
      <c r="AV321" s="379">
        <f t="shared" si="314"/>
        <v>0</v>
      </c>
      <c r="AW321" s="379">
        <f t="shared" si="315"/>
        <v>0</v>
      </c>
      <c r="AX321" s="379">
        <f t="shared" si="316"/>
        <v>0</v>
      </c>
      <c r="AY321" s="379">
        <f t="shared" si="317"/>
        <v>0</v>
      </c>
    </row>
    <row r="322" spans="1:51" x14ac:dyDescent="0.2">
      <c r="A322" s="376">
        <v>10950</v>
      </c>
      <c r="B322" s="378" t="str">
        <f t="shared" si="270"/>
        <v>Bogan (A)</v>
      </c>
      <c r="C322" s="377" t="str">
        <f t="shared" si="271"/>
        <v>NetWaste</v>
      </c>
      <c r="D322" s="503" t="str">
        <f t="shared" si="272"/>
        <v>N</v>
      </c>
      <c r="E322" s="503"/>
      <c r="F322"/>
      <c r="G322" s="379">
        <f t="shared" si="273"/>
        <v>3007</v>
      </c>
      <c r="H322" s="379">
        <f t="shared" si="274"/>
        <v>5810</v>
      </c>
      <c r="I322" s="379">
        <f t="shared" si="275"/>
        <v>218</v>
      </c>
      <c r="J322" s="379" t="str">
        <f t="shared" si="276"/>
        <v>Y</v>
      </c>
      <c r="K322" s="379">
        <f t="shared" si="277"/>
        <v>1701</v>
      </c>
      <c r="L322" s="379">
        <f t="shared" si="278"/>
        <v>0</v>
      </c>
      <c r="M322" s="379">
        <f t="shared" si="279"/>
        <v>1701</v>
      </c>
      <c r="N322" s="379">
        <f t="shared" si="280"/>
        <v>0</v>
      </c>
      <c r="O322" s="379">
        <f t="shared" si="281"/>
        <v>0</v>
      </c>
      <c r="P322" s="379">
        <f t="shared" si="282"/>
        <v>0</v>
      </c>
      <c r="Q322" s="379" t="str">
        <f t="shared" si="283"/>
        <v>Y</v>
      </c>
      <c r="R322" s="379" t="str">
        <f t="shared" si="284"/>
        <v>Nyngan Waste Facility</v>
      </c>
      <c r="S322" s="379">
        <f t="shared" si="285"/>
        <v>0</v>
      </c>
      <c r="T322" s="379">
        <f t="shared" si="286"/>
        <v>0</v>
      </c>
      <c r="U322" s="379">
        <f t="shared" si="287"/>
        <v>0</v>
      </c>
      <c r="V322" s="379">
        <f t="shared" si="288"/>
        <v>0</v>
      </c>
      <c r="W322" s="379">
        <f t="shared" si="289"/>
        <v>0</v>
      </c>
      <c r="X322" s="379">
        <f t="shared" si="290"/>
        <v>0</v>
      </c>
      <c r="Y322" s="379">
        <f t="shared" si="291"/>
        <v>0</v>
      </c>
      <c r="Z322" s="379">
        <f t="shared" si="292"/>
        <v>0</v>
      </c>
      <c r="AA322" s="379">
        <f t="shared" si="293"/>
        <v>0</v>
      </c>
      <c r="AB322" s="379">
        <f t="shared" si="294"/>
        <v>0</v>
      </c>
      <c r="AC322" s="379">
        <f t="shared" si="295"/>
        <v>0</v>
      </c>
      <c r="AD322" s="379">
        <f t="shared" si="296"/>
        <v>0</v>
      </c>
      <c r="AE322" s="379">
        <f t="shared" si="297"/>
        <v>0</v>
      </c>
      <c r="AF322" s="379">
        <f t="shared" si="298"/>
        <v>0</v>
      </c>
      <c r="AG322" s="379">
        <f t="shared" si="299"/>
        <v>0</v>
      </c>
      <c r="AH322" s="379">
        <f t="shared" si="300"/>
        <v>0</v>
      </c>
      <c r="AI322" s="379">
        <f t="shared" si="301"/>
        <v>0</v>
      </c>
      <c r="AJ322" s="379">
        <f t="shared" si="302"/>
        <v>0</v>
      </c>
      <c r="AK322" s="379">
        <f t="shared" si="303"/>
        <v>0</v>
      </c>
      <c r="AL322" s="379">
        <f t="shared" si="304"/>
        <v>0</v>
      </c>
      <c r="AM322" s="379">
        <f t="shared" si="305"/>
        <v>0</v>
      </c>
      <c r="AN322" s="490">
        <f t="shared" si="306"/>
        <v>0</v>
      </c>
      <c r="AO322" s="379">
        <f t="shared" si="307"/>
        <v>0</v>
      </c>
      <c r="AP322" s="379">
        <f t="shared" si="308"/>
        <v>0</v>
      </c>
      <c r="AQ322" s="379">
        <f t="shared" si="309"/>
        <v>0</v>
      </c>
      <c r="AR322" s="379">
        <f t="shared" si="310"/>
        <v>0</v>
      </c>
      <c r="AS322" s="379">
        <f t="shared" si="311"/>
        <v>0</v>
      </c>
      <c r="AT322" s="379">
        <f t="shared" si="312"/>
        <v>0</v>
      </c>
      <c r="AU322" s="379">
        <f t="shared" si="313"/>
        <v>0</v>
      </c>
      <c r="AV322" s="379">
        <f t="shared" si="314"/>
        <v>0</v>
      </c>
      <c r="AW322" s="379">
        <f t="shared" si="315"/>
        <v>0</v>
      </c>
      <c r="AX322" s="379">
        <f t="shared" si="316"/>
        <v>0</v>
      </c>
      <c r="AY322" s="379">
        <f t="shared" si="317"/>
        <v>0</v>
      </c>
    </row>
    <row r="323" spans="1:51" x14ac:dyDescent="0.2">
      <c r="A323" s="376">
        <v>11150</v>
      </c>
      <c r="B323" s="378" t="str">
        <f t="shared" si="270"/>
        <v>Bourke (A)</v>
      </c>
      <c r="C323" s="377" t="str">
        <f t="shared" si="271"/>
        <v>NetWaste</v>
      </c>
      <c r="D323" s="503" t="str">
        <f t="shared" si="272"/>
        <v>N</v>
      </c>
      <c r="E323" s="503"/>
      <c r="F323"/>
      <c r="G323" s="379">
        <f t="shared" si="273"/>
        <v>2814</v>
      </c>
      <c r="H323" s="379">
        <f t="shared" si="274"/>
        <v>938</v>
      </c>
      <c r="I323" s="379">
        <f t="shared" si="275"/>
        <v>279</v>
      </c>
      <c r="J323" s="379" t="str">
        <f t="shared" si="276"/>
        <v>Y</v>
      </c>
      <c r="K323" s="379">
        <f t="shared" si="277"/>
        <v>928</v>
      </c>
      <c r="L323" s="379">
        <f t="shared" si="278"/>
        <v>0</v>
      </c>
      <c r="M323" s="379">
        <f t="shared" si="279"/>
        <v>0</v>
      </c>
      <c r="N323" s="379">
        <f t="shared" si="280"/>
        <v>0</v>
      </c>
      <c r="O323" s="379">
        <f t="shared" si="281"/>
        <v>0</v>
      </c>
      <c r="P323" s="379">
        <f t="shared" si="282"/>
        <v>0</v>
      </c>
      <c r="Q323" s="379">
        <f t="shared" si="283"/>
        <v>0</v>
      </c>
      <c r="R323" s="379">
        <f t="shared" si="284"/>
        <v>0</v>
      </c>
      <c r="S323" s="379">
        <f t="shared" si="285"/>
        <v>0</v>
      </c>
      <c r="T323" s="379">
        <f t="shared" si="286"/>
        <v>0</v>
      </c>
      <c r="U323" s="379">
        <f t="shared" si="287"/>
        <v>0</v>
      </c>
      <c r="V323" s="379">
        <f t="shared" si="288"/>
        <v>0</v>
      </c>
      <c r="W323" s="379">
        <f t="shared" si="289"/>
        <v>0</v>
      </c>
      <c r="X323" s="379">
        <f t="shared" si="290"/>
        <v>0</v>
      </c>
      <c r="Y323" s="379">
        <f t="shared" si="291"/>
        <v>0</v>
      </c>
      <c r="Z323" s="379">
        <f t="shared" si="292"/>
        <v>0</v>
      </c>
      <c r="AA323" s="379">
        <f t="shared" si="293"/>
        <v>0</v>
      </c>
      <c r="AB323" s="379">
        <f t="shared" si="294"/>
        <v>0</v>
      </c>
      <c r="AC323" s="379">
        <f t="shared" si="295"/>
        <v>0</v>
      </c>
      <c r="AD323" s="379">
        <f t="shared" si="296"/>
        <v>0</v>
      </c>
      <c r="AE323" s="379">
        <f t="shared" si="297"/>
        <v>0</v>
      </c>
      <c r="AF323" s="379">
        <f t="shared" si="298"/>
        <v>0</v>
      </c>
      <c r="AG323" s="379">
        <f t="shared" si="299"/>
        <v>0</v>
      </c>
      <c r="AH323" s="379">
        <f t="shared" si="300"/>
        <v>0</v>
      </c>
      <c r="AI323" s="379">
        <f t="shared" si="301"/>
        <v>0</v>
      </c>
      <c r="AJ323" s="379">
        <f t="shared" si="302"/>
        <v>0</v>
      </c>
      <c r="AK323" s="379">
        <f t="shared" si="303"/>
        <v>0</v>
      </c>
      <c r="AL323" s="379">
        <f t="shared" si="304"/>
        <v>0</v>
      </c>
      <c r="AM323" s="379">
        <f t="shared" si="305"/>
        <v>0</v>
      </c>
      <c r="AN323" s="490">
        <f t="shared" si="306"/>
        <v>0</v>
      </c>
      <c r="AO323" s="379">
        <f t="shared" si="307"/>
        <v>0</v>
      </c>
      <c r="AP323" s="379">
        <f t="shared" si="308"/>
        <v>0</v>
      </c>
      <c r="AQ323" s="379">
        <f t="shared" si="309"/>
        <v>0</v>
      </c>
      <c r="AR323" s="379">
        <f t="shared" si="310"/>
        <v>0</v>
      </c>
      <c r="AS323" s="379">
        <f t="shared" si="311"/>
        <v>0</v>
      </c>
      <c r="AT323" s="379">
        <f t="shared" si="312"/>
        <v>0</v>
      </c>
      <c r="AU323" s="379">
        <f t="shared" si="313"/>
        <v>0</v>
      </c>
      <c r="AV323" s="379">
        <f t="shared" si="314"/>
        <v>0</v>
      </c>
      <c r="AW323" s="379">
        <f t="shared" si="315"/>
        <v>0</v>
      </c>
      <c r="AX323" s="379">
        <f t="shared" si="316"/>
        <v>0</v>
      </c>
      <c r="AY323" s="379">
        <f t="shared" si="317"/>
        <v>0</v>
      </c>
    </row>
    <row r="324" spans="1:51" x14ac:dyDescent="0.2">
      <c r="A324" s="376">
        <v>11200</v>
      </c>
      <c r="B324" s="378" t="str">
        <f t="shared" si="270"/>
        <v>Brewarrina (A)</v>
      </c>
      <c r="C324" s="377" t="str">
        <f t="shared" si="271"/>
        <v>NetWaste</v>
      </c>
      <c r="D324" s="503" t="str">
        <f t="shared" si="272"/>
        <v>N</v>
      </c>
      <c r="E324" s="503"/>
      <c r="F324"/>
      <c r="G324" s="379">
        <f t="shared" si="273"/>
        <v>1875</v>
      </c>
      <c r="H324" s="379">
        <f t="shared" si="274"/>
        <v>899</v>
      </c>
      <c r="I324" s="379">
        <f t="shared" si="275"/>
        <v>444</v>
      </c>
      <c r="J324" s="379" t="str">
        <f t="shared" si="276"/>
        <v>Y</v>
      </c>
      <c r="K324" s="379">
        <f t="shared" si="277"/>
        <v>814</v>
      </c>
      <c r="L324" s="379">
        <f t="shared" si="278"/>
        <v>0</v>
      </c>
      <c r="M324" s="379">
        <f t="shared" si="279"/>
        <v>0</v>
      </c>
      <c r="N324" s="379">
        <f t="shared" si="280"/>
        <v>0</v>
      </c>
      <c r="O324" s="379">
        <f t="shared" si="281"/>
        <v>0</v>
      </c>
      <c r="P324" s="379">
        <f t="shared" si="282"/>
        <v>0</v>
      </c>
      <c r="Q324" s="379" t="str">
        <f t="shared" si="283"/>
        <v>Y</v>
      </c>
      <c r="R324" s="379" t="str">
        <f t="shared" si="284"/>
        <v>Brewarrina Waste Depot</v>
      </c>
      <c r="S324" s="379" t="str">
        <f t="shared" si="285"/>
        <v>Goodooga Waste Depot</v>
      </c>
      <c r="T324" s="379" t="str">
        <f t="shared" si="286"/>
        <v>Angledool Waste depot</v>
      </c>
      <c r="U324" s="379" t="str">
        <f t="shared" si="287"/>
        <v>Weilmoringle Waste depot</v>
      </c>
      <c r="V324" s="379">
        <f t="shared" si="288"/>
        <v>0</v>
      </c>
      <c r="W324" s="379">
        <f t="shared" si="289"/>
        <v>0</v>
      </c>
      <c r="X324" s="379">
        <f t="shared" si="290"/>
        <v>0</v>
      </c>
      <c r="Y324" s="379">
        <f t="shared" si="291"/>
        <v>0</v>
      </c>
      <c r="Z324" s="379">
        <f t="shared" si="292"/>
        <v>0</v>
      </c>
      <c r="AA324" s="379">
        <f t="shared" si="293"/>
        <v>0</v>
      </c>
      <c r="AB324" s="379">
        <f t="shared" si="294"/>
        <v>0</v>
      </c>
      <c r="AC324" s="379">
        <f t="shared" si="295"/>
        <v>0</v>
      </c>
      <c r="AD324" s="379">
        <f t="shared" si="296"/>
        <v>0</v>
      </c>
      <c r="AE324" s="379">
        <f t="shared" si="297"/>
        <v>0</v>
      </c>
      <c r="AF324" s="379">
        <f t="shared" si="298"/>
        <v>0</v>
      </c>
      <c r="AG324" s="379">
        <f t="shared" si="299"/>
        <v>0</v>
      </c>
      <c r="AH324" s="379">
        <f t="shared" si="300"/>
        <v>0</v>
      </c>
      <c r="AI324" s="379">
        <f t="shared" si="301"/>
        <v>0</v>
      </c>
      <c r="AJ324" s="379">
        <f t="shared" si="302"/>
        <v>0</v>
      </c>
      <c r="AK324" s="379">
        <f t="shared" si="303"/>
        <v>0</v>
      </c>
      <c r="AL324" s="379">
        <f t="shared" si="304"/>
        <v>0</v>
      </c>
      <c r="AM324" s="379">
        <f t="shared" si="305"/>
        <v>0</v>
      </c>
      <c r="AN324" s="490">
        <f t="shared" si="306"/>
        <v>0</v>
      </c>
      <c r="AO324" s="379">
        <f t="shared" si="307"/>
        <v>0</v>
      </c>
      <c r="AP324" s="379">
        <f t="shared" si="308"/>
        <v>0</v>
      </c>
      <c r="AQ324" s="379">
        <f t="shared" si="309"/>
        <v>0</v>
      </c>
      <c r="AR324" s="379">
        <f t="shared" si="310"/>
        <v>0</v>
      </c>
      <c r="AS324" s="379">
        <f t="shared" si="311"/>
        <v>0</v>
      </c>
      <c r="AT324" s="379">
        <f t="shared" si="312"/>
        <v>0</v>
      </c>
      <c r="AU324" s="379">
        <f t="shared" si="313"/>
        <v>0</v>
      </c>
      <c r="AV324" s="379">
        <f t="shared" si="314"/>
        <v>0</v>
      </c>
      <c r="AW324" s="379">
        <f t="shared" si="315"/>
        <v>0</v>
      </c>
      <c r="AX324" s="379">
        <f t="shared" si="316"/>
        <v>0</v>
      </c>
      <c r="AY324" s="379">
        <f t="shared" si="317"/>
        <v>0</v>
      </c>
    </row>
    <row r="325" spans="1:51" x14ac:dyDescent="0.2">
      <c r="A325" s="376">
        <v>11250</v>
      </c>
      <c r="B325" s="378" t="str">
        <f t="shared" si="270"/>
        <v>Broken Hill (C)</v>
      </c>
      <c r="C325" s="377" t="str">
        <f t="shared" si="271"/>
        <v>NetWaste</v>
      </c>
      <c r="D325" s="503" t="str">
        <f t="shared" si="272"/>
        <v>N</v>
      </c>
      <c r="E325" s="503"/>
      <c r="F325"/>
      <c r="G325" s="379">
        <f t="shared" si="273"/>
        <v>18557</v>
      </c>
      <c r="H325" s="379">
        <f t="shared" si="274"/>
        <v>9460</v>
      </c>
      <c r="I325" s="379">
        <f t="shared" si="275"/>
        <v>252</v>
      </c>
      <c r="J325" s="379" t="str">
        <f t="shared" si="276"/>
        <v>Y</v>
      </c>
      <c r="K325" s="379">
        <f t="shared" si="277"/>
        <v>9767</v>
      </c>
      <c r="L325" s="379">
        <f t="shared" si="278"/>
        <v>0</v>
      </c>
      <c r="M325" s="379">
        <f t="shared" si="279"/>
        <v>0</v>
      </c>
      <c r="N325" s="379">
        <f t="shared" si="280"/>
        <v>0</v>
      </c>
      <c r="O325" s="379">
        <f t="shared" si="281"/>
        <v>8600</v>
      </c>
      <c r="P325" s="379">
        <f t="shared" si="282"/>
        <v>0</v>
      </c>
      <c r="Q325" s="379" t="str">
        <f t="shared" si="283"/>
        <v>Y</v>
      </c>
      <c r="R325" s="379" t="str">
        <f t="shared" si="284"/>
        <v xml:space="preserve">Broken Hill Waste Management Facility </v>
      </c>
      <c r="S325" s="379">
        <f t="shared" si="285"/>
        <v>0</v>
      </c>
      <c r="T325" s="379">
        <f t="shared" si="286"/>
        <v>0</v>
      </c>
      <c r="U325" s="379">
        <f t="shared" si="287"/>
        <v>0</v>
      </c>
      <c r="V325" s="379">
        <f t="shared" si="288"/>
        <v>0</v>
      </c>
      <c r="W325" s="379">
        <f t="shared" si="289"/>
        <v>0</v>
      </c>
      <c r="X325" s="379">
        <f t="shared" si="290"/>
        <v>0</v>
      </c>
      <c r="Y325" s="379">
        <f t="shared" si="291"/>
        <v>0</v>
      </c>
      <c r="Z325" s="379">
        <f t="shared" si="292"/>
        <v>0</v>
      </c>
      <c r="AA325" s="379">
        <f t="shared" si="293"/>
        <v>0</v>
      </c>
      <c r="AB325" s="379">
        <f t="shared" si="294"/>
        <v>0</v>
      </c>
      <c r="AC325" s="379">
        <f t="shared" si="295"/>
        <v>0</v>
      </c>
      <c r="AD325" s="379">
        <f t="shared" si="296"/>
        <v>0</v>
      </c>
      <c r="AE325" s="379">
        <f t="shared" si="297"/>
        <v>0</v>
      </c>
      <c r="AF325" s="379">
        <f t="shared" si="298"/>
        <v>0</v>
      </c>
      <c r="AG325" s="379">
        <f t="shared" si="299"/>
        <v>0</v>
      </c>
      <c r="AH325" s="379">
        <f t="shared" si="300"/>
        <v>0</v>
      </c>
      <c r="AI325" s="379">
        <f t="shared" si="301"/>
        <v>0</v>
      </c>
      <c r="AJ325" s="379">
        <f t="shared" si="302"/>
        <v>0</v>
      </c>
      <c r="AK325" s="379">
        <f t="shared" si="303"/>
        <v>0</v>
      </c>
      <c r="AL325" s="379">
        <f t="shared" si="304"/>
        <v>0</v>
      </c>
      <c r="AM325" s="379">
        <f t="shared" si="305"/>
        <v>0</v>
      </c>
      <c r="AN325" s="490">
        <f t="shared" si="306"/>
        <v>0</v>
      </c>
      <c r="AO325" s="379">
        <f t="shared" si="307"/>
        <v>0</v>
      </c>
      <c r="AP325" s="379">
        <f t="shared" si="308"/>
        <v>0</v>
      </c>
      <c r="AQ325" s="379">
        <f t="shared" si="309"/>
        <v>0</v>
      </c>
      <c r="AR325" s="379">
        <f t="shared" si="310"/>
        <v>0</v>
      </c>
      <c r="AS325" s="379">
        <f t="shared" si="311"/>
        <v>0</v>
      </c>
      <c r="AT325" s="379">
        <f t="shared" si="312"/>
        <v>0</v>
      </c>
      <c r="AU325" s="379">
        <f t="shared" si="313"/>
        <v>0</v>
      </c>
      <c r="AV325" s="379">
        <f t="shared" si="314"/>
        <v>0</v>
      </c>
      <c r="AW325" s="379">
        <f t="shared" si="315"/>
        <v>0</v>
      </c>
      <c r="AX325" s="379">
        <f t="shared" si="316"/>
        <v>0</v>
      </c>
      <c r="AY325" s="379">
        <f t="shared" si="317"/>
        <v>0</v>
      </c>
    </row>
    <row r="326" spans="1:51" x14ac:dyDescent="0.2">
      <c r="A326" s="376">
        <v>11350</v>
      </c>
      <c r="B326" s="378" t="str">
        <f t="shared" si="270"/>
        <v>Byron (A)</v>
      </c>
      <c r="C326" s="377" t="str">
        <f t="shared" si="271"/>
        <v>NEWF</v>
      </c>
      <c r="D326" s="503" t="str">
        <f t="shared" si="272"/>
        <v>R</v>
      </c>
      <c r="E326" s="503"/>
      <c r="F326"/>
      <c r="G326" s="379">
        <f t="shared" si="273"/>
        <v>33278</v>
      </c>
      <c r="H326" s="379">
        <f t="shared" si="274"/>
        <v>15348</v>
      </c>
      <c r="I326" s="379">
        <f t="shared" si="275"/>
        <v>260</v>
      </c>
      <c r="J326" s="379" t="str">
        <f t="shared" si="276"/>
        <v>Y</v>
      </c>
      <c r="K326" s="379">
        <f t="shared" si="277"/>
        <v>13526</v>
      </c>
      <c r="L326" s="379">
        <f t="shared" si="278"/>
        <v>0</v>
      </c>
      <c r="M326" s="379">
        <f t="shared" si="279"/>
        <v>13617</v>
      </c>
      <c r="N326" s="379">
        <f t="shared" si="280"/>
        <v>0</v>
      </c>
      <c r="O326" s="379">
        <f t="shared" si="281"/>
        <v>10536</v>
      </c>
      <c r="P326" s="379" t="str">
        <f t="shared" si="282"/>
        <v>Y</v>
      </c>
      <c r="Q326" s="379" t="str">
        <f t="shared" si="283"/>
        <v>Y</v>
      </c>
      <c r="R326" s="379" t="str">
        <f t="shared" si="284"/>
        <v>Byron Resource Recovery Facility</v>
      </c>
      <c r="S326" s="379">
        <f t="shared" si="285"/>
        <v>0</v>
      </c>
      <c r="T326" s="379">
        <f t="shared" si="286"/>
        <v>0</v>
      </c>
      <c r="U326" s="379">
        <f t="shared" si="287"/>
        <v>0</v>
      </c>
      <c r="V326" s="379">
        <f t="shared" si="288"/>
        <v>0</v>
      </c>
      <c r="W326" s="379">
        <f t="shared" si="289"/>
        <v>0</v>
      </c>
      <c r="X326" s="379">
        <f t="shared" si="290"/>
        <v>0</v>
      </c>
      <c r="Y326" s="379">
        <f t="shared" si="291"/>
        <v>0</v>
      </c>
      <c r="Z326" s="379">
        <f t="shared" si="292"/>
        <v>0</v>
      </c>
      <c r="AA326" s="379">
        <f t="shared" si="293"/>
        <v>0</v>
      </c>
      <c r="AB326" s="379">
        <f t="shared" si="294"/>
        <v>0</v>
      </c>
      <c r="AC326" s="379">
        <f t="shared" si="295"/>
        <v>0</v>
      </c>
      <c r="AD326" s="379">
        <f t="shared" si="296"/>
        <v>0</v>
      </c>
      <c r="AE326" s="379">
        <f t="shared" si="297"/>
        <v>0</v>
      </c>
      <c r="AF326" s="379">
        <f t="shared" si="298"/>
        <v>0</v>
      </c>
      <c r="AG326" s="379">
        <f t="shared" si="299"/>
        <v>0</v>
      </c>
      <c r="AH326" s="379">
        <f t="shared" si="300"/>
        <v>0</v>
      </c>
      <c r="AI326" s="379">
        <f t="shared" si="301"/>
        <v>0</v>
      </c>
      <c r="AJ326" s="379">
        <f t="shared" si="302"/>
        <v>0</v>
      </c>
      <c r="AK326" s="379">
        <f t="shared" si="303"/>
        <v>0</v>
      </c>
      <c r="AL326" s="379">
        <f t="shared" si="304"/>
        <v>0</v>
      </c>
      <c r="AM326" s="379">
        <f t="shared" si="305"/>
        <v>0</v>
      </c>
      <c r="AN326" s="490">
        <f t="shared" si="306"/>
        <v>0</v>
      </c>
      <c r="AO326" s="379">
        <f t="shared" si="307"/>
        <v>0</v>
      </c>
      <c r="AP326" s="379">
        <f t="shared" si="308"/>
        <v>0</v>
      </c>
      <c r="AQ326" s="379">
        <f t="shared" si="309"/>
        <v>0</v>
      </c>
      <c r="AR326" s="379">
        <f t="shared" si="310"/>
        <v>0</v>
      </c>
      <c r="AS326" s="379">
        <f t="shared" si="311"/>
        <v>0</v>
      </c>
      <c r="AT326" s="379">
        <f t="shared" si="312"/>
        <v>0</v>
      </c>
      <c r="AU326" s="379">
        <f t="shared" si="313"/>
        <v>0</v>
      </c>
      <c r="AV326" s="379">
        <f t="shared" si="314"/>
        <v>0</v>
      </c>
      <c r="AW326" s="379">
        <f t="shared" si="315"/>
        <v>0</v>
      </c>
      <c r="AX326" s="379">
        <f t="shared" si="316"/>
        <v>0</v>
      </c>
      <c r="AY326" s="379">
        <f t="shared" si="317"/>
        <v>0</v>
      </c>
    </row>
    <row r="327" spans="1:51" x14ac:dyDescent="0.2">
      <c r="A327" s="376">
        <v>11400</v>
      </c>
      <c r="B327" s="378" t="str">
        <f t="shared" si="270"/>
        <v>Cabonne (A)</v>
      </c>
      <c r="C327" s="377" t="str">
        <f t="shared" si="271"/>
        <v>NetWaste</v>
      </c>
      <c r="D327" s="503" t="str">
        <f t="shared" si="272"/>
        <v>N</v>
      </c>
      <c r="E327" s="503"/>
      <c r="F327"/>
      <c r="G327" s="379">
        <f t="shared" si="273"/>
        <v>13999</v>
      </c>
      <c r="H327" s="379">
        <f t="shared" si="274"/>
        <v>7106</v>
      </c>
      <c r="I327" s="379">
        <f t="shared" si="275"/>
        <v>338.9</v>
      </c>
      <c r="J327" s="379" t="str">
        <f t="shared" si="276"/>
        <v>Y</v>
      </c>
      <c r="K327" s="379">
        <f t="shared" si="277"/>
        <v>3580</v>
      </c>
      <c r="L327" s="379">
        <f t="shared" si="278"/>
        <v>0</v>
      </c>
      <c r="M327" s="379">
        <f t="shared" si="279"/>
        <v>3580</v>
      </c>
      <c r="N327" s="379">
        <f t="shared" si="280"/>
        <v>0</v>
      </c>
      <c r="O327" s="379">
        <f t="shared" si="281"/>
        <v>0</v>
      </c>
      <c r="P327" s="379" t="str">
        <f t="shared" si="282"/>
        <v>Y</v>
      </c>
      <c r="Q327" s="379" t="str">
        <f t="shared" si="283"/>
        <v>Y</v>
      </c>
      <c r="R327" s="379" t="str">
        <f t="shared" si="284"/>
        <v>Canowindra WMF</v>
      </c>
      <c r="S327" s="379" t="str">
        <f t="shared" si="285"/>
        <v>Cargo WMF</v>
      </c>
      <c r="T327" s="379" t="str">
        <f t="shared" si="286"/>
        <v>Cumnock WMF</v>
      </c>
      <c r="U327" s="379" t="str">
        <f t="shared" si="287"/>
        <v>Eugowra WMF</v>
      </c>
      <c r="V327" s="379" t="str">
        <f t="shared" si="288"/>
        <v>Manildra WMF</v>
      </c>
      <c r="W327" s="379" t="str">
        <f t="shared" si="289"/>
        <v>Yeoval WMF</v>
      </c>
      <c r="X327" s="379">
        <f t="shared" si="290"/>
        <v>0</v>
      </c>
      <c r="Y327" s="379">
        <f t="shared" si="291"/>
        <v>0</v>
      </c>
      <c r="Z327" s="379">
        <f t="shared" si="292"/>
        <v>0</v>
      </c>
      <c r="AA327" s="379">
        <f t="shared" si="293"/>
        <v>0</v>
      </c>
      <c r="AB327" s="379">
        <f t="shared" si="294"/>
        <v>0</v>
      </c>
      <c r="AC327" s="379">
        <f t="shared" si="295"/>
        <v>0</v>
      </c>
      <c r="AD327" s="379">
        <f t="shared" si="296"/>
        <v>0</v>
      </c>
      <c r="AE327" s="379">
        <f t="shared" si="297"/>
        <v>0</v>
      </c>
      <c r="AF327" s="379">
        <f t="shared" si="298"/>
        <v>0</v>
      </c>
      <c r="AG327" s="379">
        <f t="shared" si="299"/>
        <v>0</v>
      </c>
      <c r="AH327" s="379">
        <f t="shared" si="300"/>
        <v>0</v>
      </c>
      <c r="AI327" s="379">
        <f t="shared" si="301"/>
        <v>0</v>
      </c>
      <c r="AJ327" s="379">
        <f t="shared" si="302"/>
        <v>0</v>
      </c>
      <c r="AK327" s="379">
        <f t="shared" si="303"/>
        <v>0</v>
      </c>
      <c r="AL327" s="379">
        <f t="shared" si="304"/>
        <v>0</v>
      </c>
      <c r="AM327" s="379">
        <f t="shared" si="305"/>
        <v>0</v>
      </c>
      <c r="AN327" s="490">
        <f t="shared" si="306"/>
        <v>0</v>
      </c>
      <c r="AO327" s="379">
        <f t="shared" si="307"/>
        <v>0</v>
      </c>
      <c r="AP327" s="379">
        <f t="shared" si="308"/>
        <v>0</v>
      </c>
      <c r="AQ327" s="379">
        <f t="shared" si="309"/>
        <v>0</v>
      </c>
      <c r="AR327" s="379">
        <f t="shared" si="310"/>
        <v>0</v>
      </c>
      <c r="AS327" s="379">
        <f t="shared" si="311"/>
        <v>0</v>
      </c>
      <c r="AT327" s="379">
        <f t="shared" si="312"/>
        <v>0</v>
      </c>
      <c r="AU327" s="379">
        <f t="shared" si="313"/>
        <v>0</v>
      </c>
      <c r="AV327" s="379">
        <f t="shared" si="314"/>
        <v>0</v>
      </c>
      <c r="AW327" s="379">
        <f t="shared" si="315"/>
        <v>0</v>
      </c>
      <c r="AX327" s="379">
        <f t="shared" si="316"/>
        <v>0</v>
      </c>
      <c r="AY327" s="379">
        <f t="shared" si="317"/>
        <v>0</v>
      </c>
    </row>
    <row r="328" spans="1:51" x14ac:dyDescent="0.2">
      <c r="A328" s="376">
        <v>11600</v>
      </c>
      <c r="B328" s="378" t="str">
        <f t="shared" si="270"/>
        <v>Carrathool (A)</v>
      </c>
      <c r="C328" s="377" t="str">
        <f t="shared" si="271"/>
        <v>RAMROC Riverina</v>
      </c>
      <c r="D328" s="503" t="str">
        <f t="shared" si="272"/>
        <v>N</v>
      </c>
      <c r="E328" s="503"/>
      <c r="F328"/>
      <c r="G328" s="379">
        <f t="shared" si="273"/>
        <v>2760</v>
      </c>
      <c r="H328" s="379">
        <f t="shared" si="274"/>
        <v>2624</v>
      </c>
      <c r="I328" s="379">
        <f t="shared" si="275"/>
        <v>180</v>
      </c>
      <c r="J328" s="379" t="str">
        <f t="shared" si="276"/>
        <v>Y</v>
      </c>
      <c r="K328" s="379">
        <f t="shared" si="277"/>
        <v>704</v>
      </c>
      <c r="L328" s="379">
        <f t="shared" si="278"/>
        <v>0</v>
      </c>
      <c r="M328" s="379">
        <f t="shared" si="279"/>
        <v>0</v>
      </c>
      <c r="N328" s="379">
        <f t="shared" si="280"/>
        <v>0</v>
      </c>
      <c r="O328" s="379">
        <f t="shared" si="281"/>
        <v>0</v>
      </c>
      <c r="P328" s="379">
        <f t="shared" si="282"/>
        <v>0</v>
      </c>
      <c r="Q328" s="379">
        <f t="shared" si="283"/>
        <v>0</v>
      </c>
      <c r="R328" s="379">
        <f t="shared" si="284"/>
        <v>0</v>
      </c>
      <c r="S328" s="379">
        <f t="shared" si="285"/>
        <v>0</v>
      </c>
      <c r="T328" s="379">
        <f t="shared" si="286"/>
        <v>0</v>
      </c>
      <c r="U328" s="379">
        <f t="shared" si="287"/>
        <v>0</v>
      </c>
      <c r="V328" s="379">
        <f t="shared" si="288"/>
        <v>0</v>
      </c>
      <c r="W328" s="379">
        <f t="shared" si="289"/>
        <v>0</v>
      </c>
      <c r="X328" s="379">
        <f t="shared" si="290"/>
        <v>0</v>
      </c>
      <c r="Y328" s="379">
        <f t="shared" si="291"/>
        <v>0</v>
      </c>
      <c r="Z328" s="379">
        <f t="shared" si="292"/>
        <v>0</v>
      </c>
      <c r="AA328" s="379">
        <f t="shared" si="293"/>
        <v>0</v>
      </c>
      <c r="AB328" s="379">
        <f t="shared" si="294"/>
        <v>0</v>
      </c>
      <c r="AC328" s="379">
        <f t="shared" si="295"/>
        <v>0</v>
      </c>
      <c r="AD328" s="379">
        <f t="shared" si="296"/>
        <v>0</v>
      </c>
      <c r="AE328" s="379">
        <f t="shared" si="297"/>
        <v>0</v>
      </c>
      <c r="AF328" s="379">
        <f t="shared" si="298"/>
        <v>0</v>
      </c>
      <c r="AG328" s="379">
        <f t="shared" si="299"/>
        <v>0</v>
      </c>
      <c r="AH328" s="379">
        <f t="shared" si="300"/>
        <v>0</v>
      </c>
      <c r="AI328" s="379">
        <f t="shared" si="301"/>
        <v>0</v>
      </c>
      <c r="AJ328" s="379">
        <f t="shared" si="302"/>
        <v>0</v>
      </c>
      <c r="AK328" s="379">
        <f t="shared" si="303"/>
        <v>0</v>
      </c>
      <c r="AL328" s="379">
        <f t="shared" si="304"/>
        <v>0</v>
      </c>
      <c r="AM328" s="379">
        <f t="shared" si="305"/>
        <v>0</v>
      </c>
      <c r="AN328" s="490">
        <f t="shared" si="306"/>
        <v>0</v>
      </c>
      <c r="AO328" s="379">
        <f t="shared" si="307"/>
        <v>0</v>
      </c>
      <c r="AP328" s="379">
        <f t="shared" si="308"/>
        <v>0</v>
      </c>
      <c r="AQ328" s="379">
        <f t="shared" si="309"/>
        <v>0</v>
      </c>
      <c r="AR328" s="379">
        <f t="shared" si="310"/>
        <v>0</v>
      </c>
      <c r="AS328" s="379">
        <f t="shared" si="311"/>
        <v>0</v>
      </c>
      <c r="AT328" s="379">
        <f t="shared" si="312"/>
        <v>0</v>
      </c>
      <c r="AU328" s="379">
        <f t="shared" si="313"/>
        <v>0</v>
      </c>
      <c r="AV328" s="379">
        <f t="shared" si="314"/>
        <v>0</v>
      </c>
      <c r="AW328" s="379">
        <f t="shared" si="315"/>
        <v>0</v>
      </c>
      <c r="AX328" s="379">
        <f t="shared" si="316"/>
        <v>0</v>
      </c>
      <c r="AY328" s="379">
        <f t="shared" si="317"/>
        <v>0</v>
      </c>
    </row>
    <row r="329" spans="1:51" x14ac:dyDescent="0.2">
      <c r="A329" s="376">
        <v>11700</v>
      </c>
      <c r="B329" s="378" t="str">
        <f t="shared" si="270"/>
        <v>Central Darling (A)</v>
      </c>
      <c r="C329" s="377" t="str">
        <f t="shared" si="271"/>
        <v>NetWaste</v>
      </c>
      <c r="D329" s="503" t="str">
        <f t="shared" si="272"/>
        <v>N</v>
      </c>
      <c r="E329" s="503"/>
      <c r="F329"/>
      <c r="G329" s="379">
        <f t="shared" si="273"/>
        <v>2070</v>
      </c>
      <c r="H329" s="379">
        <f t="shared" si="274"/>
        <v>1379</v>
      </c>
      <c r="I329" s="379">
        <f t="shared" si="275"/>
        <v>510</v>
      </c>
      <c r="J329" s="379" t="str">
        <f t="shared" si="276"/>
        <v>Y</v>
      </c>
      <c r="K329" s="379">
        <f t="shared" si="277"/>
        <v>719</v>
      </c>
      <c r="L329" s="379">
        <f t="shared" si="278"/>
        <v>0</v>
      </c>
      <c r="M329" s="379">
        <f t="shared" si="279"/>
        <v>0</v>
      </c>
      <c r="N329" s="379">
        <f t="shared" si="280"/>
        <v>0</v>
      </c>
      <c r="O329" s="379">
        <f t="shared" si="281"/>
        <v>0</v>
      </c>
      <c r="P329" s="379">
        <f t="shared" si="282"/>
        <v>0</v>
      </c>
      <c r="Q329" s="379">
        <f t="shared" si="283"/>
        <v>0</v>
      </c>
      <c r="R329" s="379">
        <f t="shared" si="284"/>
        <v>0</v>
      </c>
      <c r="S329" s="379">
        <f t="shared" si="285"/>
        <v>0</v>
      </c>
      <c r="T329" s="379">
        <f t="shared" si="286"/>
        <v>0</v>
      </c>
      <c r="U329" s="379">
        <f t="shared" si="287"/>
        <v>0</v>
      </c>
      <c r="V329" s="379">
        <f t="shared" si="288"/>
        <v>0</v>
      </c>
      <c r="W329" s="379">
        <f t="shared" si="289"/>
        <v>0</v>
      </c>
      <c r="X329" s="379">
        <f t="shared" si="290"/>
        <v>0</v>
      </c>
      <c r="Y329" s="379">
        <f t="shared" si="291"/>
        <v>0</v>
      </c>
      <c r="Z329" s="379">
        <f t="shared" si="292"/>
        <v>0</v>
      </c>
      <c r="AA329" s="379">
        <f t="shared" si="293"/>
        <v>0</v>
      </c>
      <c r="AB329" s="379">
        <f t="shared" si="294"/>
        <v>0</v>
      </c>
      <c r="AC329" s="379">
        <f t="shared" si="295"/>
        <v>0</v>
      </c>
      <c r="AD329" s="379">
        <f t="shared" si="296"/>
        <v>0</v>
      </c>
      <c r="AE329" s="379">
        <f t="shared" si="297"/>
        <v>0</v>
      </c>
      <c r="AF329" s="379">
        <f t="shared" si="298"/>
        <v>0</v>
      </c>
      <c r="AG329" s="379">
        <f t="shared" si="299"/>
        <v>0</v>
      </c>
      <c r="AH329" s="379">
        <f t="shared" si="300"/>
        <v>0</v>
      </c>
      <c r="AI329" s="379">
        <f t="shared" si="301"/>
        <v>0</v>
      </c>
      <c r="AJ329" s="379">
        <f t="shared" si="302"/>
        <v>0</v>
      </c>
      <c r="AK329" s="379">
        <f t="shared" si="303"/>
        <v>0</v>
      </c>
      <c r="AL329" s="379">
        <f t="shared" si="304"/>
        <v>0</v>
      </c>
      <c r="AM329" s="379">
        <f t="shared" si="305"/>
        <v>0</v>
      </c>
      <c r="AN329" s="490">
        <f t="shared" si="306"/>
        <v>0</v>
      </c>
      <c r="AO329" s="379">
        <f t="shared" si="307"/>
        <v>0</v>
      </c>
      <c r="AP329" s="379">
        <f t="shared" si="308"/>
        <v>0</v>
      </c>
      <c r="AQ329" s="379">
        <f t="shared" si="309"/>
        <v>0</v>
      </c>
      <c r="AR329" s="379">
        <f t="shared" si="310"/>
        <v>0</v>
      </c>
      <c r="AS329" s="379">
        <f t="shared" si="311"/>
        <v>0</v>
      </c>
      <c r="AT329" s="379">
        <f t="shared" si="312"/>
        <v>0</v>
      </c>
      <c r="AU329" s="379">
        <f t="shared" si="313"/>
        <v>0</v>
      </c>
      <c r="AV329" s="379">
        <f t="shared" si="314"/>
        <v>0</v>
      </c>
      <c r="AW329" s="379">
        <f t="shared" si="315"/>
        <v>0</v>
      </c>
      <c r="AX329" s="379">
        <f t="shared" si="316"/>
        <v>0</v>
      </c>
      <c r="AY329" s="379">
        <f t="shared" si="317"/>
        <v>0</v>
      </c>
    </row>
    <row r="330" spans="1:51" x14ac:dyDescent="0.2">
      <c r="A330" s="376">
        <v>11730</v>
      </c>
      <c r="B330" s="378" t="str">
        <f t="shared" si="270"/>
        <v>Clarence Valley (A)</v>
      </c>
      <c r="C330" s="377" t="str">
        <f t="shared" si="271"/>
        <v>NEWF</v>
      </c>
      <c r="D330" s="503" t="str">
        <f t="shared" si="272"/>
        <v>R</v>
      </c>
      <c r="E330" s="503"/>
      <c r="F330"/>
      <c r="G330" s="379">
        <f t="shared" si="273"/>
        <v>51211</v>
      </c>
      <c r="H330" s="379">
        <f t="shared" si="274"/>
        <v>23646</v>
      </c>
      <c r="I330" s="379">
        <f t="shared" si="275"/>
        <v>310</v>
      </c>
      <c r="J330" s="379" t="str">
        <f t="shared" si="276"/>
        <v>Y</v>
      </c>
      <c r="K330" s="379">
        <f t="shared" si="277"/>
        <v>22149</v>
      </c>
      <c r="L330" s="379">
        <f t="shared" si="278"/>
        <v>0</v>
      </c>
      <c r="M330" s="379">
        <f t="shared" si="279"/>
        <v>22105</v>
      </c>
      <c r="N330" s="379">
        <f t="shared" si="280"/>
        <v>0</v>
      </c>
      <c r="O330" s="379">
        <f t="shared" si="281"/>
        <v>17912</v>
      </c>
      <c r="P330" s="379" t="str">
        <f t="shared" si="282"/>
        <v>Y</v>
      </c>
      <c r="Q330" s="379" t="str">
        <f t="shared" si="283"/>
        <v>Y</v>
      </c>
      <c r="R330" s="379" t="str">
        <f t="shared" si="284"/>
        <v>Grafton Landfill</v>
      </c>
      <c r="S330" s="379" t="str">
        <f t="shared" si="285"/>
        <v>Glenreagh WTS</v>
      </c>
      <c r="T330" s="379" t="str">
        <f t="shared" si="286"/>
        <v>Grafton WTS</v>
      </c>
      <c r="U330" s="379" t="str">
        <f t="shared" si="287"/>
        <v>Maclean WTS</v>
      </c>
      <c r="V330" s="379" t="str">
        <f t="shared" si="288"/>
        <v>Tyringham WTS</v>
      </c>
      <c r="W330" s="379" t="str">
        <f t="shared" si="289"/>
        <v>Copmanhurst &amp; Iluka &amp; Baryulgil</v>
      </c>
      <c r="X330" s="379">
        <f t="shared" si="290"/>
        <v>0</v>
      </c>
      <c r="Y330" s="379">
        <f t="shared" si="291"/>
        <v>0</v>
      </c>
      <c r="Z330" s="379">
        <f t="shared" si="292"/>
        <v>0</v>
      </c>
      <c r="AA330" s="379">
        <f t="shared" si="293"/>
        <v>0</v>
      </c>
      <c r="AB330" s="379">
        <f t="shared" si="294"/>
        <v>0</v>
      </c>
      <c r="AC330" s="379">
        <f t="shared" si="295"/>
        <v>0</v>
      </c>
      <c r="AD330" s="379">
        <f t="shared" si="296"/>
        <v>0</v>
      </c>
      <c r="AE330" s="379">
        <f t="shared" si="297"/>
        <v>0</v>
      </c>
      <c r="AF330" s="379">
        <f t="shared" si="298"/>
        <v>0</v>
      </c>
      <c r="AG330" s="379">
        <f t="shared" si="299"/>
        <v>0</v>
      </c>
      <c r="AH330" s="379">
        <f t="shared" si="300"/>
        <v>0</v>
      </c>
      <c r="AI330" s="379">
        <f t="shared" si="301"/>
        <v>0</v>
      </c>
      <c r="AJ330" s="379">
        <f t="shared" si="302"/>
        <v>0</v>
      </c>
      <c r="AK330" s="379">
        <f t="shared" si="303"/>
        <v>0</v>
      </c>
      <c r="AL330" s="379">
        <f t="shared" si="304"/>
        <v>0</v>
      </c>
      <c r="AM330" s="379">
        <f t="shared" si="305"/>
        <v>0</v>
      </c>
      <c r="AN330" s="490">
        <f t="shared" si="306"/>
        <v>0</v>
      </c>
      <c r="AO330" s="379">
        <f t="shared" si="307"/>
        <v>0</v>
      </c>
      <c r="AP330" s="379">
        <f t="shared" si="308"/>
        <v>0</v>
      </c>
      <c r="AQ330" s="379">
        <f t="shared" si="309"/>
        <v>0</v>
      </c>
      <c r="AR330" s="379">
        <f t="shared" si="310"/>
        <v>0</v>
      </c>
      <c r="AS330" s="379">
        <f t="shared" si="311"/>
        <v>0</v>
      </c>
      <c r="AT330" s="379">
        <f t="shared" si="312"/>
        <v>0</v>
      </c>
      <c r="AU330" s="379">
        <f t="shared" si="313"/>
        <v>0</v>
      </c>
      <c r="AV330" s="379">
        <f t="shared" si="314"/>
        <v>0</v>
      </c>
      <c r="AW330" s="379">
        <f t="shared" si="315"/>
        <v>0</v>
      </c>
      <c r="AX330" s="379">
        <f t="shared" si="316"/>
        <v>0</v>
      </c>
      <c r="AY330" s="379">
        <f t="shared" si="317"/>
        <v>0</v>
      </c>
    </row>
    <row r="331" spans="1:51" x14ac:dyDescent="0.2">
      <c r="A331" s="376">
        <v>11750</v>
      </c>
      <c r="B331" s="378" t="str">
        <f t="shared" si="270"/>
        <v>Cobar (A)</v>
      </c>
      <c r="C331" s="377" t="str">
        <f t="shared" si="271"/>
        <v>NetWaste</v>
      </c>
      <c r="D331" s="503" t="str">
        <f t="shared" si="272"/>
        <v>N</v>
      </c>
      <c r="E331" s="503"/>
      <c r="F331"/>
      <c r="G331" s="379">
        <f t="shared" si="273"/>
        <v>4989</v>
      </c>
      <c r="H331" s="379">
        <f t="shared" si="274"/>
        <v>2691</v>
      </c>
      <c r="I331" s="379">
        <f t="shared" si="275"/>
        <v>225</v>
      </c>
      <c r="J331" s="379" t="str">
        <f t="shared" si="276"/>
        <v>Y</v>
      </c>
      <c r="K331" s="379">
        <f t="shared" si="277"/>
        <v>2488</v>
      </c>
      <c r="L331" s="379">
        <f t="shared" si="278"/>
        <v>0</v>
      </c>
      <c r="M331" s="379">
        <f t="shared" si="279"/>
        <v>0</v>
      </c>
      <c r="N331" s="379">
        <f t="shared" si="280"/>
        <v>0</v>
      </c>
      <c r="O331" s="379">
        <f t="shared" si="281"/>
        <v>0</v>
      </c>
      <c r="P331" s="379">
        <f t="shared" si="282"/>
        <v>0</v>
      </c>
      <c r="Q331" s="379">
        <f t="shared" si="283"/>
        <v>0</v>
      </c>
      <c r="R331" s="379">
        <f t="shared" si="284"/>
        <v>0</v>
      </c>
      <c r="S331" s="379">
        <f t="shared" si="285"/>
        <v>0</v>
      </c>
      <c r="T331" s="379">
        <f t="shared" si="286"/>
        <v>0</v>
      </c>
      <c r="U331" s="379">
        <f t="shared" si="287"/>
        <v>0</v>
      </c>
      <c r="V331" s="379">
        <f t="shared" si="288"/>
        <v>0</v>
      </c>
      <c r="W331" s="379">
        <f t="shared" si="289"/>
        <v>0</v>
      </c>
      <c r="X331" s="379">
        <f t="shared" si="290"/>
        <v>0</v>
      </c>
      <c r="Y331" s="379">
        <f t="shared" si="291"/>
        <v>0</v>
      </c>
      <c r="Z331" s="379">
        <f t="shared" si="292"/>
        <v>0</v>
      </c>
      <c r="AA331" s="379">
        <f t="shared" si="293"/>
        <v>0</v>
      </c>
      <c r="AB331" s="379">
        <f t="shared" si="294"/>
        <v>0</v>
      </c>
      <c r="AC331" s="379">
        <f t="shared" si="295"/>
        <v>0</v>
      </c>
      <c r="AD331" s="379">
        <f t="shared" si="296"/>
        <v>0</v>
      </c>
      <c r="AE331" s="379">
        <f t="shared" si="297"/>
        <v>0</v>
      </c>
      <c r="AF331" s="379">
        <f t="shared" si="298"/>
        <v>0</v>
      </c>
      <c r="AG331" s="379">
        <f t="shared" si="299"/>
        <v>0</v>
      </c>
      <c r="AH331" s="379">
        <f t="shared" si="300"/>
        <v>0</v>
      </c>
      <c r="AI331" s="379">
        <f t="shared" si="301"/>
        <v>0</v>
      </c>
      <c r="AJ331" s="379">
        <f t="shared" si="302"/>
        <v>0</v>
      </c>
      <c r="AK331" s="379">
        <f t="shared" si="303"/>
        <v>0</v>
      </c>
      <c r="AL331" s="379">
        <f t="shared" si="304"/>
        <v>0</v>
      </c>
      <c r="AM331" s="379">
        <f t="shared" si="305"/>
        <v>0</v>
      </c>
      <c r="AN331" s="490">
        <f t="shared" si="306"/>
        <v>0</v>
      </c>
      <c r="AO331" s="379">
        <f t="shared" si="307"/>
        <v>0</v>
      </c>
      <c r="AP331" s="379">
        <f t="shared" si="308"/>
        <v>0</v>
      </c>
      <c r="AQ331" s="379">
        <f t="shared" si="309"/>
        <v>0</v>
      </c>
      <c r="AR331" s="379">
        <f t="shared" si="310"/>
        <v>0</v>
      </c>
      <c r="AS331" s="379">
        <f t="shared" si="311"/>
        <v>0</v>
      </c>
      <c r="AT331" s="379">
        <f t="shared" si="312"/>
        <v>0</v>
      </c>
      <c r="AU331" s="379">
        <f t="shared" si="313"/>
        <v>0</v>
      </c>
      <c r="AV331" s="379">
        <f t="shared" si="314"/>
        <v>0</v>
      </c>
      <c r="AW331" s="379">
        <f t="shared" si="315"/>
        <v>0</v>
      </c>
      <c r="AX331" s="379">
        <f t="shared" si="316"/>
        <v>0</v>
      </c>
      <c r="AY331" s="379">
        <f t="shared" si="317"/>
        <v>0</v>
      </c>
    </row>
    <row r="332" spans="1:51" x14ac:dyDescent="0.2">
      <c r="A332" s="376">
        <v>11800</v>
      </c>
      <c r="B332" s="378" t="str">
        <f t="shared" si="270"/>
        <v>Coffs Harbour (C)</v>
      </c>
      <c r="C332" s="377" t="str">
        <f t="shared" si="271"/>
        <v>MidWaste</v>
      </c>
      <c r="D332" s="503" t="str">
        <f t="shared" si="272"/>
        <v>R</v>
      </c>
      <c r="E332" s="503"/>
      <c r="F332"/>
      <c r="G332" s="379">
        <f t="shared" si="273"/>
        <v>73892</v>
      </c>
      <c r="H332" s="379">
        <f t="shared" si="274"/>
        <v>29320</v>
      </c>
      <c r="I332" s="379">
        <f t="shared" si="275"/>
        <v>636</v>
      </c>
      <c r="J332" s="379" t="str">
        <f t="shared" si="276"/>
        <v>Y</v>
      </c>
      <c r="K332" s="379">
        <f t="shared" si="277"/>
        <v>32052</v>
      </c>
      <c r="L332" s="379" t="str">
        <f t="shared" si="278"/>
        <v>Y</v>
      </c>
      <c r="M332" s="379">
        <f t="shared" si="279"/>
        <v>27207</v>
      </c>
      <c r="N332" s="379">
        <f t="shared" si="280"/>
        <v>0</v>
      </c>
      <c r="O332" s="379">
        <f t="shared" si="281"/>
        <v>32079</v>
      </c>
      <c r="P332" s="379" t="str">
        <f t="shared" si="282"/>
        <v>Y</v>
      </c>
      <c r="Q332" s="379" t="str">
        <f t="shared" si="283"/>
        <v>Y</v>
      </c>
      <c r="R332" s="379" t="str">
        <f t="shared" si="284"/>
        <v>Coramba Transfer Station</v>
      </c>
      <c r="S332" s="379" t="str">
        <f t="shared" si="285"/>
        <v>Lowanna Transfer Station</v>
      </c>
      <c r="T332" s="379" t="str">
        <f t="shared" si="286"/>
        <v>Woolgoolga Transfer Station</v>
      </c>
      <c r="U332" s="379" t="str">
        <f t="shared" si="287"/>
        <v xml:space="preserve">Englands Road Waste Management Facility </v>
      </c>
      <c r="V332" s="379">
        <f t="shared" si="288"/>
        <v>0</v>
      </c>
      <c r="W332" s="379">
        <f t="shared" si="289"/>
        <v>0</v>
      </c>
      <c r="X332" s="379">
        <f t="shared" si="290"/>
        <v>0</v>
      </c>
      <c r="Y332" s="379">
        <f t="shared" si="291"/>
        <v>0</v>
      </c>
      <c r="Z332" s="379">
        <f t="shared" si="292"/>
        <v>0</v>
      </c>
      <c r="AA332" s="379">
        <f t="shared" si="293"/>
        <v>0</v>
      </c>
      <c r="AB332" s="379">
        <f t="shared" si="294"/>
        <v>0</v>
      </c>
      <c r="AC332" s="379">
        <f t="shared" si="295"/>
        <v>0</v>
      </c>
      <c r="AD332" s="379">
        <f t="shared" si="296"/>
        <v>0</v>
      </c>
      <c r="AE332" s="379">
        <f t="shared" si="297"/>
        <v>0</v>
      </c>
      <c r="AF332" s="379">
        <f t="shared" si="298"/>
        <v>0</v>
      </c>
      <c r="AG332" s="379">
        <f t="shared" si="299"/>
        <v>0</v>
      </c>
      <c r="AH332" s="379">
        <f t="shared" si="300"/>
        <v>0</v>
      </c>
      <c r="AI332" s="379">
        <f t="shared" si="301"/>
        <v>0</v>
      </c>
      <c r="AJ332" s="379">
        <f t="shared" si="302"/>
        <v>0</v>
      </c>
      <c r="AK332" s="379">
        <f t="shared" si="303"/>
        <v>0</v>
      </c>
      <c r="AL332" s="379">
        <f t="shared" si="304"/>
        <v>0</v>
      </c>
      <c r="AM332" s="379">
        <f t="shared" si="305"/>
        <v>0</v>
      </c>
      <c r="AN332" s="490">
        <f t="shared" si="306"/>
        <v>0</v>
      </c>
      <c r="AO332" s="379">
        <f t="shared" si="307"/>
        <v>0</v>
      </c>
      <c r="AP332" s="379">
        <f t="shared" si="308"/>
        <v>0</v>
      </c>
      <c r="AQ332" s="379">
        <f t="shared" si="309"/>
        <v>0</v>
      </c>
      <c r="AR332" s="379">
        <f t="shared" si="310"/>
        <v>0</v>
      </c>
      <c r="AS332" s="379">
        <f t="shared" si="311"/>
        <v>0</v>
      </c>
      <c r="AT332" s="379">
        <f t="shared" si="312"/>
        <v>0</v>
      </c>
      <c r="AU332" s="379">
        <f t="shared" si="313"/>
        <v>0</v>
      </c>
      <c r="AV332" s="379">
        <f t="shared" si="314"/>
        <v>0</v>
      </c>
      <c r="AW332" s="379">
        <f t="shared" si="315"/>
        <v>0</v>
      </c>
      <c r="AX332" s="379">
        <f t="shared" si="316"/>
        <v>0</v>
      </c>
      <c r="AY332" s="379">
        <f t="shared" si="317"/>
        <v>0</v>
      </c>
    </row>
    <row r="333" spans="1:51" x14ac:dyDescent="0.2">
      <c r="A333" s="376">
        <v>12000</v>
      </c>
      <c r="B333" s="378" t="str">
        <f t="shared" si="270"/>
        <v>Coolamon (A)</v>
      </c>
      <c r="C333" s="377" t="str">
        <f t="shared" si="271"/>
        <v>REROC</v>
      </c>
      <c r="D333" s="503" t="str">
        <f t="shared" si="272"/>
        <v>N</v>
      </c>
      <c r="E333" s="503"/>
      <c r="F333"/>
      <c r="G333" s="379">
        <f t="shared" si="273"/>
        <v>4419</v>
      </c>
      <c r="H333" s="379">
        <f t="shared" si="274"/>
        <v>2020</v>
      </c>
      <c r="I333" s="379">
        <f t="shared" si="275"/>
        <v>265</v>
      </c>
      <c r="J333" s="379" t="str">
        <f t="shared" si="276"/>
        <v>Y</v>
      </c>
      <c r="K333" s="379">
        <f t="shared" si="277"/>
        <v>1651</v>
      </c>
      <c r="L333" s="379">
        <f t="shared" si="278"/>
        <v>0</v>
      </c>
      <c r="M333" s="379">
        <f t="shared" si="279"/>
        <v>1613</v>
      </c>
      <c r="N333" s="379">
        <f t="shared" si="280"/>
        <v>0</v>
      </c>
      <c r="O333" s="379">
        <f t="shared" si="281"/>
        <v>1162</v>
      </c>
      <c r="P333" s="379" t="str">
        <f t="shared" si="282"/>
        <v>Y</v>
      </c>
      <c r="Q333" s="379">
        <f t="shared" si="283"/>
        <v>0</v>
      </c>
      <c r="R333" s="379">
        <f t="shared" si="284"/>
        <v>0</v>
      </c>
      <c r="S333" s="379">
        <f t="shared" si="285"/>
        <v>0</v>
      </c>
      <c r="T333" s="379">
        <f t="shared" si="286"/>
        <v>0</v>
      </c>
      <c r="U333" s="379">
        <f t="shared" si="287"/>
        <v>0</v>
      </c>
      <c r="V333" s="379">
        <f t="shared" si="288"/>
        <v>0</v>
      </c>
      <c r="W333" s="379">
        <f t="shared" si="289"/>
        <v>0</v>
      </c>
      <c r="X333" s="379">
        <f t="shared" si="290"/>
        <v>0</v>
      </c>
      <c r="Y333" s="379">
        <f t="shared" si="291"/>
        <v>0</v>
      </c>
      <c r="Z333" s="379">
        <f t="shared" si="292"/>
        <v>0</v>
      </c>
      <c r="AA333" s="379">
        <f t="shared" si="293"/>
        <v>0</v>
      </c>
      <c r="AB333" s="379">
        <f t="shared" si="294"/>
        <v>0</v>
      </c>
      <c r="AC333" s="379">
        <f t="shared" si="295"/>
        <v>0</v>
      </c>
      <c r="AD333" s="379">
        <f t="shared" si="296"/>
        <v>0</v>
      </c>
      <c r="AE333" s="379">
        <f t="shared" si="297"/>
        <v>0</v>
      </c>
      <c r="AF333" s="379">
        <f t="shared" si="298"/>
        <v>0</v>
      </c>
      <c r="AG333" s="379">
        <f t="shared" si="299"/>
        <v>0</v>
      </c>
      <c r="AH333" s="379">
        <f t="shared" si="300"/>
        <v>0</v>
      </c>
      <c r="AI333" s="379">
        <f t="shared" si="301"/>
        <v>0</v>
      </c>
      <c r="AJ333" s="379">
        <f t="shared" si="302"/>
        <v>0</v>
      </c>
      <c r="AK333" s="379">
        <f t="shared" si="303"/>
        <v>0</v>
      </c>
      <c r="AL333" s="379">
        <f t="shared" si="304"/>
        <v>0</v>
      </c>
      <c r="AM333" s="379">
        <f t="shared" si="305"/>
        <v>0</v>
      </c>
      <c r="AN333" s="490">
        <f t="shared" si="306"/>
        <v>0</v>
      </c>
      <c r="AO333" s="379">
        <f t="shared" si="307"/>
        <v>0</v>
      </c>
      <c r="AP333" s="379">
        <f t="shared" si="308"/>
        <v>0</v>
      </c>
      <c r="AQ333" s="379">
        <f t="shared" si="309"/>
        <v>0</v>
      </c>
      <c r="AR333" s="379">
        <f t="shared" si="310"/>
        <v>0</v>
      </c>
      <c r="AS333" s="379">
        <f t="shared" si="311"/>
        <v>0</v>
      </c>
      <c r="AT333" s="379">
        <f t="shared" si="312"/>
        <v>0</v>
      </c>
      <c r="AU333" s="379">
        <f t="shared" si="313"/>
        <v>0</v>
      </c>
      <c r="AV333" s="379">
        <f t="shared" si="314"/>
        <v>0</v>
      </c>
      <c r="AW333" s="379">
        <f t="shared" si="315"/>
        <v>0</v>
      </c>
      <c r="AX333" s="379">
        <f t="shared" si="316"/>
        <v>0</v>
      </c>
      <c r="AY333" s="379">
        <f t="shared" si="317"/>
        <v>0</v>
      </c>
    </row>
    <row r="334" spans="1:51" x14ac:dyDescent="0.2">
      <c r="A334" s="376">
        <v>12150</v>
      </c>
      <c r="B334" s="378" t="str">
        <f t="shared" si="270"/>
        <v>Coonamble (A)</v>
      </c>
      <c r="C334" s="377" t="str">
        <f t="shared" si="271"/>
        <v>NetWaste</v>
      </c>
      <c r="D334" s="503" t="str">
        <f t="shared" si="272"/>
        <v>N</v>
      </c>
      <c r="E334" s="503"/>
      <c r="F334"/>
      <c r="G334" s="379">
        <f t="shared" si="273"/>
        <v>4188</v>
      </c>
      <c r="H334" s="379">
        <f t="shared" si="274"/>
        <v>1577</v>
      </c>
      <c r="I334" s="379">
        <f t="shared" si="275"/>
        <v>280</v>
      </c>
      <c r="J334" s="379" t="str">
        <f t="shared" si="276"/>
        <v>Y</v>
      </c>
      <c r="K334" s="379">
        <f t="shared" si="277"/>
        <v>1468</v>
      </c>
      <c r="L334" s="379">
        <f t="shared" si="278"/>
        <v>0</v>
      </c>
      <c r="M334" s="379">
        <f t="shared" si="279"/>
        <v>0</v>
      </c>
      <c r="N334" s="379">
        <f t="shared" si="280"/>
        <v>0</v>
      </c>
      <c r="O334" s="379">
        <f t="shared" si="281"/>
        <v>0</v>
      </c>
      <c r="P334" s="379">
        <f t="shared" si="282"/>
        <v>0</v>
      </c>
      <c r="Q334" s="379" t="str">
        <f t="shared" si="283"/>
        <v>Y</v>
      </c>
      <c r="R334" s="379" t="str">
        <f t="shared" si="284"/>
        <v>Coonamble</v>
      </c>
      <c r="S334" s="379" t="str">
        <f t="shared" si="285"/>
        <v>Quambone</v>
      </c>
      <c r="T334" s="379">
        <f t="shared" si="286"/>
        <v>0</v>
      </c>
      <c r="U334" s="379">
        <f t="shared" si="287"/>
        <v>0</v>
      </c>
      <c r="V334" s="379">
        <f t="shared" si="288"/>
        <v>0</v>
      </c>
      <c r="W334" s="379">
        <f t="shared" si="289"/>
        <v>0</v>
      </c>
      <c r="X334" s="379">
        <f t="shared" si="290"/>
        <v>0</v>
      </c>
      <c r="Y334" s="379">
        <f t="shared" si="291"/>
        <v>0</v>
      </c>
      <c r="Z334" s="379">
        <f t="shared" si="292"/>
        <v>0</v>
      </c>
      <c r="AA334" s="379">
        <f t="shared" si="293"/>
        <v>0</v>
      </c>
      <c r="AB334" s="379">
        <f t="shared" si="294"/>
        <v>0</v>
      </c>
      <c r="AC334" s="379">
        <f t="shared" si="295"/>
        <v>0</v>
      </c>
      <c r="AD334" s="379">
        <f t="shared" si="296"/>
        <v>0</v>
      </c>
      <c r="AE334" s="379">
        <f t="shared" si="297"/>
        <v>0</v>
      </c>
      <c r="AF334" s="379">
        <f t="shared" si="298"/>
        <v>0</v>
      </c>
      <c r="AG334" s="379">
        <f t="shared" si="299"/>
        <v>0</v>
      </c>
      <c r="AH334" s="379">
        <f t="shared" si="300"/>
        <v>0</v>
      </c>
      <c r="AI334" s="379">
        <f t="shared" si="301"/>
        <v>0</v>
      </c>
      <c r="AJ334" s="379">
        <f t="shared" si="302"/>
        <v>0</v>
      </c>
      <c r="AK334" s="379">
        <f t="shared" si="303"/>
        <v>0</v>
      </c>
      <c r="AL334" s="379">
        <f t="shared" si="304"/>
        <v>0</v>
      </c>
      <c r="AM334" s="379">
        <f t="shared" si="305"/>
        <v>0</v>
      </c>
      <c r="AN334" s="490">
        <f t="shared" si="306"/>
        <v>0</v>
      </c>
      <c r="AO334" s="379">
        <f t="shared" si="307"/>
        <v>0</v>
      </c>
      <c r="AP334" s="379">
        <f t="shared" si="308"/>
        <v>0</v>
      </c>
      <c r="AQ334" s="379">
        <f t="shared" si="309"/>
        <v>0</v>
      </c>
      <c r="AR334" s="379">
        <f t="shared" si="310"/>
        <v>0</v>
      </c>
      <c r="AS334" s="379">
        <f t="shared" si="311"/>
        <v>0</v>
      </c>
      <c r="AT334" s="379">
        <f t="shared" si="312"/>
        <v>0</v>
      </c>
      <c r="AU334" s="379">
        <f t="shared" si="313"/>
        <v>0</v>
      </c>
      <c r="AV334" s="379">
        <f t="shared" si="314"/>
        <v>0</v>
      </c>
      <c r="AW334" s="379">
        <f t="shared" si="315"/>
        <v>0</v>
      </c>
      <c r="AX334" s="379">
        <f t="shared" si="316"/>
        <v>0</v>
      </c>
      <c r="AY334" s="379">
        <f t="shared" si="317"/>
        <v>0</v>
      </c>
    </row>
    <row r="335" spans="1:51" x14ac:dyDescent="0.2">
      <c r="A335" s="376">
        <v>12350</v>
      </c>
      <c r="B335" s="378" t="str">
        <f t="shared" si="270"/>
        <v>Cowra (A)</v>
      </c>
      <c r="C335" s="377" t="str">
        <f t="shared" si="271"/>
        <v>NetWaste</v>
      </c>
      <c r="D335" s="503" t="str">
        <f t="shared" si="272"/>
        <v>N</v>
      </c>
      <c r="E335" s="503"/>
      <c r="F335"/>
      <c r="G335" s="379">
        <f t="shared" si="273"/>
        <v>12527</v>
      </c>
      <c r="H335" s="379">
        <f t="shared" si="274"/>
        <v>4372</v>
      </c>
      <c r="I335" s="379">
        <f t="shared" si="275"/>
        <v>595</v>
      </c>
      <c r="J335" s="379" t="str">
        <f t="shared" si="276"/>
        <v>Y</v>
      </c>
      <c r="K335" s="379">
        <f t="shared" si="277"/>
        <v>4372</v>
      </c>
      <c r="L335" s="379">
        <f t="shared" si="278"/>
        <v>0</v>
      </c>
      <c r="M335" s="379">
        <f t="shared" si="279"/>
        <v>4250</v>
      </c>
      <c r="N335" s="379">
        <f t="shared" si="280"/>
        <v>0</v>
      </c>
      <c r="O335" s="379">
        <f t="shared" si="281"/>
        <v>0</v>
      </c>
      <c r="P335" s="379">
        <f t="shared" si="282"/>
        <v>0</v>
      </c>
      <c r="Q335" s="379" t="str">
        <f t="shared" si="283"/>
        <v>Y</v>
      </c>
      <c r="R335" s="379" t="str">
        <f t="shared" si="284"/>
        <v>Woodstock</v>
      </c>
      <c r="S335" s="379">
        <f t="shared" si="285"/>
        <v>0</v>
      </c>
      <c r="T335" s="379">
        <f t="shared" si="286"/>
        <v>0</v>
      </c>
      <c r="U335" s="379">
        <f t="shared" si="287"/>
        <v>0</v>
      </c>
      <c r="V335" s="379">
        <f t="shared" si="288"/>
        <v>0</v>
      </c>
      <c r="W335" s="379">
        <f t="shared" si="289"/>
        <v>0</v>
      </c>
      <c r="X335" s="379">
        <f t="shared" si="290"/>
        <v>0</v>
      </c>
      <c r="Y335" s="379">
        <f t="shared" si="291"/>
        <v>0</v>
      </c>
      <c r="Z335" s="379">
        <f t="shared" si="292"/>
        <v>0</v>
      </c>
      <c r="AA335" s="379">
        <f t="shared" si="293"/>
        <v>0</v>
      </c>
      <c r="AB335" s="379">
        <f t="shared" si="294"/>
        <v>0</v>
      </c>
      <c r="AC335" s="379">
        <f t="shared" si="295"/>
        <v>0</v>
      </c>
      <c r="AD335" s="379">
        <f t="shared" si="296"/>
        <v>0</v>
      </c>
      <c r="AE335" s="379">
        <f t="shared" si="297"/>
        <v>0</v>
      </c>
      <c r="AF335" s="379">
        <f t="shared" si="298"/>
        <v>0</v>
      </c>
      <c r="AG335" s="379">
        <f t="shared" si="299"/>
        <v>0</v>
      </c>
      <c r="AH335" s="379">
        <f t="shared" si="300"/>
        <v>0</v>
      </c>
      <c r="AI335" s="379">
        <f t="shared" si="301"/>
        <v>0</v>
      </c>
      <c r="AJ335" s="379">
        <f t="shared" si="302"/>
        <v>0</v>
      </c>
      <c r="AK335" s="379">
        <f t="shared" si="303"/>
        <v>0</v>
      </c>
      <c r="AL335" s="379">
        <f t="shared" si="304"/>
        <v>0</v>
      </c>
      <c r="AM335" s="379">
        <f t="shared" si="305"/>
        <v>0</v>
      </c>
      <c r="AN335" s="490">
        <f t="shared" si="306"/>
        <v>0</v>
      </c>
      <c r="AO335" s="379">
        <f t="shared" si="307"/>
        <v>0</v>
      </c>
      <c r="AP335" s="379">
        <f t="shared" si="308"/>
        <v>0</v>
      </c>
      <c r="AQ335" s="379">
        <f t="shared" si="309"/>
        <v>0</v>
      </c>
      <c r="AR335" s="379">
        <f t="shared" si="310"/>
        <v>0</v>
      </c>
      <c r="AS335" s="379">
        <f t="shared" si="311"/>
        <v>0</v>
      </c>
      <c r="AT335" s="379">
        <f t="shared" si="312"/>
        <v>0</v>
      </c>
      <c r="AU335" s="379">
        <f t="shared" si="313"/>
        <v>0</v>
      </c>
      <c r="AV335" s="379">
        <f t="shared" si="314"/>
        <v>0</v>
      </c>
      <c r="AW335" s="379">
        <f t="shared" si="315"/>
        <v>0</v>
      </c>
      <c r="AX335" s="379">
        <f t="shared" si="316"/>
        <v>0</v>
      </c>
      <c r="AY335" s="379">
        <f t="shared" si="317"/>
        <v>0</v>
      </c>
    </row>
    <row r="336" spans="1:51" x14ac:dyDescent="0.2">
      <c r="A336" s="376">
        <v>12700</v>
      </c>
      <c r="B336" s="378" t="str">
        <f t="shared" si="270"/>
        <v>Dungog (A)</v>
      </c>
      <c r="C336" s="377" t="str">
        <f t="shared" si="271"/>
        <v>Hunter</v>
      </c>
      <c r="D336" s="503" t="str">
        <f t="shared" si="272"/>
        <v>R</v>
      </c>
      <c r="E336" s="503"/>
      <c r="F336"/>
      <c r="G336" s="379">
        <f t="shared" si="273"/>
        <v>9323</v>
      </c>
      <c r="H336" s="379">
        <f t="shared" si="274"/>
        <v>5283</v>
      </c>
      <c r="I336" s="379">
        <f t="shared" si="275"/>
        <v>386.9</v>
      </c>
      <c r="J336" s="379" t="str">
        <f t="shared" si="276"/>
        <v>Y</v>
      </c>
      <c r="K336" s="379">
        <f t="shared" si="277"/>
        <v>3545</v>
      </c>
      <c r="L336" s="379">
        <f t="shared" si="278"/>
        <v>0</v>
      </c>
      <c r="M336" s="379">
        <f t="shared" si="279"/>
        <v>3521</v>
      </c>
      <c r="N336" s="379">
        <f t="shared" si="280"/>
        <v>0</v>
      </c>
      <c r="O336" s="379">
        <f t="shared" si="281"/>
        <v>0</v>
      </c>
      <c r="P336" s="379" t="str">
        <f t="shared" si="282"/>
        <v>Y</v>
      </c>
      <c r="Q336" s="379" t="str">
        <f t="shared" si="283"/>
        <v>Y</v>
      </c>
      <c r="R336" s="379" t="str">
        <f t="shared" si="284"/>
        <v>Dungog Waste Management facility</v>
      </c>
      <c r="S336" s="379">
        <f t="shared" si="285"/>
        <v>0</v>
      </c>
      <c r="T336" s="379">
        <f t="shared" si="286"/>
        <v>0</v>
      </c>
      <c r="U336" s="379">
        <f t="shared" si="287"/>
        <v>0</v>
      </c>
      <c r="V336" s="379">
        <f t="shared" si="288"/>
        <v>0</v>
      </c>
      <c r="W336" s="379">
        <f t="shared" si="289"/>
        <v>0</v>
      </c>
      <c r="X336" s="379">
        <f t="shared" si="290"/>
        <v>0</v>
      </c>
      <c r="Y336" s="379">
        <f t="shared" si="291"/>
        <v>0</v>
      </c>
      <c r="Z336" s="379">
        <f t="shared" si="292"/>
        <v>0</v>
      </c>
      <c r="AA336" s="379">
        <f t="shared" si="293"/>
        <v>0</v>
      </c>
      <c r="AB336" s="379">
        <f t="shared" si="294"/>
        <v>0</v>
      </c>
      <c r="AC336" s="379">
        <f t="shared" si="295"/>
        <v>0</v>
      </c>
      <c r="AD336" s="379">
        <f t="shared" si="296"/>
        <v>0</v>
      </c>
      <c r="AE336" s="379">
        <f t="shared" si="297"/>
        <v>0</v>
      </c>
      <c r="AF336" s="379">
        <f t="shared" si="298"/>
        <v>0</v>
      </c>
      <c r="AG336" s="379">
        <f t="shared" si="299"/>
        <v>0</v>
      </c>
      <c r="AH336" s="379">
        <f t="shared" si="300"/>
        <v>0</v>
      </c>
      <c r="AI336" s="379">
        <f t="shared" si="301"/>
        <v>0</v>
      </c>
      <c r="AJ336" s="379">
        <f t="shared" si="302"/>
        <v>0</v>
      </c>
      <c r="AK336" s="379">
        <f t="shared" si="303"/>
        <v>0</v>
      </c>
      <c r="AL336" s="379">
        <f t="shared" si="304"/>
        <v>0</v>
      </c>
      <c r="AM336" s="379">
        <f t="shared" si="305"/>
        <v>0</v>
      </c>
      <c r="AN336" s="490">
        <f t="shared" si="306"/>
        <v>0</v>
      </c>
      <c r="AO336" s="379">
        <f t="shared" si="307"/>
        <v>0</v>
      </c>
      <c r="AP336" s="379">
        <f t="shared" si="308"/>
        <v>0</v>
      </c>
      <c r="AQ336" s="379">
        <f t="shared" si="309"/>
        <v>0</v>
      </c>
      <c r="AR336" s="379">
        <f t="shared" si="310"/>
        <v>0</v>
      </c>
      <c r="AS336" s="379">
        <f t="shared" si="311"/>
        <v>0</v>
      </c>
      <c r="AT336" s="379">
        <f t="shared" si="312"/>
        <v>0</v>
      </c>
      <c r="AU336" s="379">
        <f t="shared" si="313"/>
        <v>0</v>
      </c>
      <c r="AV336" s="379">
        <f t="shared" si="314"/>
        <v>0</v>
      </c>
      <c r="AW336" s="379">
        <f t="shared" si="315"/>
        <v>0</v>
      </c>
      <c r="AX336" s="379">
        <f t="shared" si="316"/>
        <v>0</v>
      </c>
      <c r="AY336" s="379">
        <f t="shared" si="317"/>
        <v>0</v>
      </c>
    </row>
    <row r="337" spans="1:51" x14ac:dyDescent="0.2">
      <c r="A337" s="376">
        <v>12730</v>
      </c>
      <c r="B337" s="378" t="str">
        <f t="shared" si="270"/>
        <v>Edward River (A)</v>
      </c>
      <c r="C337" s="377" t="str">
        <f t="shared" si="271"/>
        <v>RAMROC Murray</v>
      </c>
      <c r="D337" s="503" t="str">
        <f t="shared" si="272"/>
        <v>N</v>
      </c>
      <c r="E337" s="503"/>
      <c r="F337"/>
      <c r="G337" s="379">
        <f t="shared" si="273"/>
        <v>8876</v>
      </c>
      <c r="H337" s="379">
        <f t="shared" si="274"/>
        <v>3396</v>
      </c>
      <c r="I337" s="379">
        <f t="shared" si="275"/>
        <v>343.5</v>
      </c>
      <c r="J337" s="379" t="str">
        <f t="shared" si="276"/>
        <v>Y</v>
      </c>
      <c r="K337" s="379">
        <f t="shared" si="277"/>
        <v>3419</v>
      </c>
      <c r="L337" s="379">
        <f t="shared" si="278"/>
        <v>0</v>
      </c>
      <c r="M337" s="379">
        <f t="shared" si="279"/>
        <v>0</v>
      </c>
      <c r="N337" s="379">
        <f t="shared" si="280"/>
        <v>0</v>
      </c>
      <c r="O337" s="379">
        <f t="shared" si="281"/>
        <v>0</v>
      </c>
      <c r="P337" s="379">
        <f t="shared" si="282"/>
        <v>0</v>
      </c>
      <c r="Q337" s="379" t="str">
        <f t="shared" si="283"/>
        <v>Y</v>
      </c>
      <c r="R337" s="379" t="str">
        <f t="shared" si="284"/>
        <v>Deniliquin Waste Disposal Facility</v>
      </c>
      <c r="S337" s="379" t="str">
        <f t="shared" si="285"/>
        <v>Blighty Landfll</v>
      </c>
      <c r="T337" s="379" t="str">
        <f t="shared" si="286"/>
        <v>Booroorban Landfill</v>
      </c>
      <c r="U337" s="379" t="str">
        <f t="shared" si="287"/>
        <v>Conargo Landfill</v>
      </c>
      <c r="V337" s="379" t="str">
        <f t="shared" si="288"/>
        <v>Pretty Pine Landfill</v>
      </c>
      <c r="W337" s="379" t="str">
        <f t="shared" si="289"/>
        <v>Wanganella Landfill</v>
      </c>
      <c r="X337" s="379">
        <f t="shared" si="290"/>
        <v>0</v>
      </c>
      <c r="Y337" s="379">
        <f t="shared" si="291"/>
        <v>0</v>
      </c>
      <c r="Z337" s="379">
        <f t="shared" si="292"/>
        <v>0</v>
      </c>
      <c r="AA337" s="379">
        <f t="shared" si="293"/>
        <v>0</v>
      </c>
      <c r="AB337" s="379">
        <f t="shared" si="294"/>
        <v>0</v>
      </c>
      <c r="AC337" s="379">
        <f t="shared" si="295"/>
        <v>0</v>
      </c>
      <c r="AD337" s="379">
        <f t="shared" si="296"/>
        <v>0</v>
      </c>
      <c r="AE337" s="379">
        <f t="shared" si="297"/>
        <v>0</v>
      </c>
      <c r="AF337" s="379">
        <f t="shared" si="298"/>
        <v>0</v>
      </c>
      <c r="AG337" s="379">
        <f t="shared" si="299"/>
        <v>0</v>
      </c>
      <c r="AH337" s="379">
        <f t="shared" si="300"/>
        <v>0</v>
      </c>
      <c r="AI337" s="379">
        <f t="shared" si="301"/>
        <v>0</v>
      </c>
      <c r="AJ337" s="379">
        <f t="shared" si="302"/>
        <v>0</v>
      </c>
      <c r="AK337" s="379">
        <f t="shared" si="303"/>
        <v>0</v>
      </c>
      <c r="AL337" s="379">
        <f t="shared" si="304"/>
        <v>0</v>
      </c>
      <c r="AM337" s="379">
        <f t="shared" si="305"/>
        <v>0</v>
      </c>
      <c r="AN337" s="490">
        <f t="shared" si="306"/>
        <v>0</v>
      </c>
      <c r="AO337" s="379">
        <f t="shared" si="307"/>
        <v>0</v>
      </c>
      <c r="AP337" s="379">
        <f t="shared" si="308"/>
        <v>0</v>
      </c>
      <c r="AQ337" s="379">
        <f t="shared" si="309"/>
        <v>0</v>
      </c>
      <c r="AR337" s="379">
        <f t="shared" si="310"/>
        <v>0</v>
      </c>
      <c r="AS337" s="379">
        <f t="shared" si="311"/>
        <v>0</v>
      </c>
      <c r="AT337" s="379">
        <f t="shared" si="312"/>
        <v>0</v>
      </c>
      <c r="AU337" s="379">
        <f t="shared" si="313"/>
        <v>0</v>
      </c>
      <c r="AV337" s="379">
        <f t="shared" si="314"/>
        <v>0</v>
      </c>
      <c r="AW337" s="379">
        <f t="shared" si="315"/>
        <v>0</v>
      </c>
      <c r="AX337" s="379">
        <f t="shared" si="316"/>
        <v>0</v>
      </c>
      <c r="AY337" s="379">
        <f t="shared" si="317"/>
        <v>0</v>
      </c>
    </row>
    <row r="338" spans="1:51" x14ac:dyDescent="0.2">
      <c r="A338" s="376">
        <v>12750</v>
      </c>
      <c r="B338" s="378" t="str">
        <f t="shared" si="270"/>
        <v>Eurobodalla (A)</v>
      </c>
      <c r="C338" s="377" t="str">
        <f t="shared" si="271"/>
        <v>CBRJO</v>
      </c>
      <c r="D338" s="503" t="str">
        <f t="shared" si="272"/>
        <v>N</v>
      </c>
      <c r="E338" s="503"/>
      <c r="F338"/>
      <c r="G338" s="379">
        <f t="shared" si="273"/>
        <v>38119</v>
      </c>
      <c r="H338" s="379">
        <f t="shared" si="274"/>
        <v>23556</v>
      </c>
      <c r="I338" s="379">
        <f t="shared" si="275"/>
        <v>302.3</v>
      </c>
      <c r="J338" s="379" t="str">
        <f t="shared" si="276"/>
        <v>Y</v>
      </c>
      <c r="K338" s="379">
        <f t="shared" si="277"/>
        <v>22022</v>
      </c>
      <c r="L338" s="379">
        <f t="shared" si="278"/>
        <v>0</v>
      </c>
      <c r="M338" s="379">
        <f t="shared" si="279"/>
        <v>22138</v>
      </c>
      <c r="N338" s="379">
        <f t="shared" si="280"/>
        <v>21395</v>
      </c>
      <c r="O338" s="379">
        <f t="shared" si="281"/>
        <v>0</v>
      </c>
      <c r="P338" s="379" t="str">
        <f t="shared" si="282"/>
        <v>Y</v>
      </c>
      <c r="Q338" s="379" t="str">
        <f t="shared" si="283"/>
        <v>Y</v>
      </c>
      <c r="R338" s="379" t="str">
        <f t="shared" si="284"/>
        <v>Brou WMF</v>
      </c>
      <c r="S338" s="379" t="str">
        <f t="shared" si="285"/>
        <v>Surf Beach WMF</v>
      </c>
      <c r="T338" s="379" t="str">
        <f t="shared" si="286"/>
        <v>Moruya Transfer Station</v>
      </c>
      <c r="U338" s="379">
        <f t="shared" si="287"/>
        <v>0</v>
      </c>
      <c r="V338" s="379">
        <f t="shared" si="288"/>
        <v>0</v>
      </c>
      <c r="W338" s="379">
        <f t="shared" si="289"/>
        <v>0</v>
      </c>
      <c r="X338" s="379">
        <f t="shared" si="290"/>
        <v>0</v>
      </c>
      <c r="Y338" s="379">
        <f t="shared" si="291"/>
        <v>0</v>
      </c>
      <c r="Z338" s="379">
        <f t="shared" si="292"/>
        <v>0</v>
      </c>
      <c r="AA338" s="379">
        <f t="shared" si="293"/>
        <v>0</v>
      </c>
      <c r="AB338" s="379">
        <f t="shared" si="294"/>
        <v>0</v>
      </c>
      <c r="AC338" s="379">
        <f t="shared" si="295"/>
        <v>0</v>
      </c>
      <c r="AD338" s="379">
        <f t="shared" si="296"/>
        <v>0</v>
      </c>
      <c r="AE338" s="379">
        <f t="shared" si="297"/>
        <v>0</v>
      </c>
      <c r="AF338" s="379">
        <f t="shared" si="298"/>
        <v>0</v>
      </c>
      <c r="AG338" s="379">
        <f t="shared" si="299"/>
        <v>0</v>
      </c>
      <c r="AH338" s="379">
        <f t="shared" si="300"/>
        <v>0</v>
      </c>
      <c r="AI338" s="379">
        <f t="shared" si="301"/>
        <v>0</v>
      </c>
      <c r="AJ338" s="379">
        <f t="shared" si="302"/>
        <v>0</v>
      </c>
      <c r="AK338" s="379">
        <f t="shared" si="303"/>
        <v>0</v>
      </c>
      <c r="AL338" s="379">
        <f t="shared" si="304"/>
        <v>0</v>
      </c>
      <c r="AM338" s="379">
        <f t="shared" si="305"/>
        <v>0</v>
      </c>
      <c r="AN338" s="490">
        <f t="shared" si="306"/>
        <v>0</v>
      </c>
      <c r="AO338" s="379">
        <f t="shared" si="307"/>
        <v>0</v>
      </c>
      <c r="AP338" s="379">
        <f t="shared" si="308"/>
        <v>0</v>
      </c>
      <c r="AQ338" s="379">
        <f t="shared" si="309"/>
        <v>0</v>
      </c>
      <c r="AR338" s="379">
        <f t="shared" si="310"/>
        <v>0</v>
      </c>
      <c r="AS338" s="379">
        <f t="shared" si="311"/>
        <v>0</v>
      </c>
      <c r="AT338" s="379">
        <f t="shared" si="312"/>
        <v>0</v>
      </c>
      <c r="AU338" s="379">
        <f t="shared" si="313"/>
        <v>0</v>
      </c>
      <c r="AV338" s="379">
        <f t="shared" si="314"/>
        <v>0</v>
      </c>
      <c r="AW338" s="379">
        <f t="shared" si="315"/>
        <v>0</v>
      </c>
      <c r="AX338" s="379">
        <f t="shared" si="316"/>
        <v>0</v>
      </c>
      <c r="AY338" s="379">
        <f t="shared" si="317"/>
        <v>0</v>
      </c>
    </row>
    <row r="339" spans="1:51" x14ac:dyDescent="0.2">
      <c r="A339" s="376">
        <v>12870</v>
      </c>
      <c r="B339" s="378" t="str">
        <f t="shared" si="270"/>
        <v>Federation (A)</v>
      </c>
      <c r="C339" s="377" t="str">
        <f t="shared" si="271"/>
        <v>RAMROC Murray</v>
      </c>
      <c r="D339" s="503" t="str">
        <f t="shared" si="272"/>
        <v>N</v>
      </c>
      <c r="E339" s="503"/>
      <c r="F339"/>
      <c r="G339" s="379">
        <f t="shared" si="273"/>
        <v>12569</v>
      </c>
      <c r="H339" s="379">
        <f t="shared" si="274"/>
        <v>6857</v>
      </c>
      <c r="I339" s="379">
        <f t="shared" si="275"/>
        <v>270</v>
      </c>
      <c r="J339" s="379" t="str">
        <f t="shared" si="276"/>
        <v>Y</v>
      </c>
      <c r="K339" s="379">
        <f t="shared" si="277"/>
        <v>6727</v>
      </c>
      <c r="L339" s="379">
        <f t="shared" si="278"/>
        <v>0</v>
      </c>
      <c r="M339" s="379">
        <f t="shared" si="279"/>
        <v>6058</v>
      </c>
      <c r="N339" s="379">
        <f t="shared" si="280"/>
        <v>0</v>
      </c>
      <c r="O339" s="379">
        <f t="shared" si="281"/>
        <v>6058</v>
      </c>
      <c r="P339" s="379">
        <f t="shared" si="282"/>
        <v>0</v>
      </c>
      <c r="Q339" s="379" t="str">
        <f t="shared" si="283"/>
        <v>Y</v>
      </c>
      <c r="R339" s="379" t="str">
        <f t="shared" si="284"/>
        <v>Corowa Landfill</v>
      </c>
      <c r="S339" s="379" t="str">
        <f t="shared" si="285"/>
        <v>Howlong Landfill</v>
      </c>
      <c r="T339" s="379" t="str">
        <f t="shared" si="286"/>
        <v>Mulwala Transfer station</v>
      </c>
      <c r="U339" s="379" t="str">
        <f t="shared" si="287"/>
        <v>Oaklands Tip</v>
      </c>
      <c r="V339" s="379" t="str">
        <f t="shared" si="288"/>
        <v>Urana Tip</v>
      </c>
      <c r="W339" s="379">
        <f t="shared" si="289"/>
        <v>0</v>
      </c>
      <c r="X339" s="379">
        <f t="shared" si="290"/>
        <v>0</v>
      </c>
      <c r="Y339" s="379">
        <f t="shared" si="291"/>
        <v>0</v>
      </c>
      <c r="Z339" s="379">
        <f t="shared" si="292"/>
        <v>0</v>
      </c>
      <c r="AA339" s="379">
        <f t="shared" si="293"/>
        <v>0</v>
      </c>
      <c r="AB339" s="379">
        <f t="shared" si="294"/>
        <v>0</v>
      </c>
      <c r="AC339" s="379">
        <f t="shared" si="295"/>
        <v>0</v>
      </c>
      <c r="AD339" s="379">
        <f t="shared" si="296"/>
        <v>0</v>
      </c>
      <c r="AE339" s="379">
        <f t="shared" si="297"/>
        <v>0</v>
      </c>
      <c r="AF339" s="379">
        <f t="shared" si="298"/>
        <v>0</v>
      </c>
      <c r="AG339" s="379">
        <f t="shared" si="299"/>
        <v>0</v>
      </c>
      <c r="AH339" s="379">
        <f t="shared" si="300"/>
        <v>0</v>
      </c>
      <c r="AI339" s="379">
        <f t="shared" si="301"/>
        <v>0</v>
      </c>
      <c r="AJ339" s="379">
        <f t="shared" si="302"/>
        <v>0</v>
      </c>
      <c r="AK339" s="379">
        <f t="shared" si="303"/>
        <v>0</v>
      </c>
      <c r="AL339" s="379">
        <f t="shared" si="304"/>
        <v>0</v>
      </c>
      <c r="AM339" s="379">
        <f t="shared" si="305"/>
        <v>0</v>
      </c>
      <c r="AN339" s="490">
        <f t="shared" si="306"/>
        <v>0</v>
      </c>
      <c r="AO339" s="379">
        <f t="shared" si="307"/>
        <v>0</v>
      </c>
      <c r="AP339" s="379">
        <f t="shared" si="308"/>
        <v>0</v>
      </c>
      <c r="AQ339" s="379">
        <f t="shared" si="309"/>
        <v>0</v>
      </c>
      <c r="AR339" s="379">
        <f t="shared" si="310"/>
        <v>0</v>
      </c>
      <c r="AS339" s="379">
        <f t="shared" si="311"/>
        <v>0</v>
      </c>
      <c r="AT339" s="379">
        <f t="shared" si="312"/>
        <v>0</v>
      </c>
      <c r="AU339" s="379">
        <f t="shared" si="313"/>
        <v>0</v>
      </c>
      <c r="AV339" s="379">
        <f t="shared" si="314"/>
        <v>0</v>
      </c>
      <c r="AW339" s="379">
        <f t="shared" si="315"/>
        <v>0</v>
      </c>
      <c r="AX339" s="379">
        <f t="shared" si="316"/>
        <v>0</v>
      </c>
      <c r="AY339" s="379">
        <f t="shared" si="317"/>
        <v>0</v>
      </c>
    </row>
    <row r="340" spans="1:51" x14ac:dyDescent="0.2">
      <c r="A340" s="376">
        <v>12900</v>
      </c>
      <c r="B340" s="378" t="str">
        <f t="shared" si="270"/>
        <v>Forbes (A)</v>
      </c>
      <c r="C340" s="377" t="str">
        <f t="shared" si="271"/>
        <v>NetWaste</v>
      </c>
      <c r="D340" s="503" t="str">
        <f t="shared" si="272"/>
        <v>N</v>
      </c>
      <c r="E340" s="503"/>
      <c r="F340"/>
      <c r="G340" s="379">
        <f t="shared" si="273"/>
        <v>9768</v>
      </c>
      <c r="H340" s="379">
        <f t="shared" si="274"/>
        <v>4621</v>
      </c>
      <c r="I340" s="379">
        <f t="shared" si="275"/>
        <v>455</v>
      </c>
      <c r="J340" s="379" t="str">
        <f t="shared" si="276"/>
        <v>Y</v>
      </c>
      <c r="K340" s="379">
        <f t="shared" si="277"/>
        <v>4172</v>
      </c>
      <c r="L340" s="379">
        <f t="shared" si="278"/>
        <v>0</v>
      </c>
      <c r="M340" s="379">
        <f t="shared" si="279"/>
        <v>3659</v>
      </c>
      <c r="N340" s="379">
        <f t="shared" si="280"/>
        <v>0</v>
      </c>
      <c r="O340" s="379">
        <f t="shared" si="281"/>
        <v>3279</v>
      </c>
      <c r="P340" s="379" t="str">
        <f t="shared" si="282"/>
        <v>Y</v>
      </c>
      <c r="Q340" s="379" t="str">
        <f t="shared" si="283"/>
        <v>Y</v>
      </c>
      <c r="R340" s="379" t="str">
        <f t="shared" si="284"/>
        <v>Daroobalgie</v>
      </c>
      <c r="S340" s="379">
        <f t="shared" si="285"/>
        <v>0</v>
      </c>
      <c r="T340" s="379">
        <f t="shared" si="286"/>
        <v>0</v>
      </c>
      <c r="U340" s="379">
        <f t="shared" si="287"/>
        <v>0</v>
      </c>
      <c r="V340" s="379">
        <f t="shared" si="288"/>
        <v>0</v>
      </c>
      <c r="W340" s="379">
        <f t="shared" si="289"/>
        <v>0</v>
      </c>
      <c r="X340" s="379">
        <f t="shared" si="290"/>
        <v>0</v>
      </c>
      <c r="Y340" s="379">
        <f t="shared" si="291"/>
        <v>0</v>
      </c>
      <c r="Z340" s="379">
        <f t="shared" si="292"/>
        <v>0</v>
      </c>
      <c r="AA340" s="379">
        <f t="shared" si="293"/>
        <v>0</v>
      </c>
      <c r="AB340" s="379">
        <f t="shared" si="294"/>
        <v>0</v>
      </c>
      <c r="AC340" s="379">
        <f t="shared" si="295"/>
        <v>0</v>
      </c>
      <c r="AD340" s="379">
        <f t="shared" si="296"/>
        <v>0</v>
      </c>
      <c r="AE340" s="379">
        <f t="shared" si="297"/>
        <v>0</v>
      </c>
      <c r="AF340" s="379">
        <f t="shared" si="298"/>
        <v>0</v>
      </c>
      <c r="AG340" s="379">
        <f t="shared" si="299"/>
        <v>0</v>
      </c>
      <c r="AH340" s="379">
        <f t="shared" si="300"/>
        <v>0</v>
      </c>
      <c r="AI340" s="379">
        <f t="shared" si="301"/>
        <v>0</v>
      </c>
      <c r="AJ340" s="379">
        <f t="shared" si="302"/>
        <v>0</v>
      </c>
      <c r="AK340" s="379">
        <f t="shared" si="303"/>
        <v>0</v>
      </c>
      <c r="AL340" s="379">
        <f t="shared" si="304"/>
        <v>0</v>
      </c>
      <c r="AM340" s="379">
        <f t="shared" si="305"/>
        <v>0</v>
      </c>
      <c r="AN340" s="490">
        <f t="shared" si="306"/>
        <v>0</v>
      </c>
      <c r="AO340" s="379">
        <f t="shared" si="307"/>
        <v>0</v>
      </c>
      <c r="AP340" s="379">
        <f t="shared" si="308"/>
        <v>0</v>
      </c>
      <c r="AQ340" s="379">
        <f t="shared" si="309"/>
        <v>0</v>
      </c>
      <c r="AR340" s="379">
        <f t="shared" si="310"/>
        <v>0</v>
      </c>
      <c r="AS340" s="379">
        <f t="shared" si="311"/>
        <v>0</v>
      </c>
      <c r="AT340" s="379">
        <f t="shared" si="312"/>
        <v>0</v>
      </c>
      <c r="AU340" s="379">
        <f t="shared" si="313"/>
        <v>0</v>
      </c>
      <c r="AV340" s="379">
        <f t="shared" si="314"/>
        <v>0</v>
      </c>
      <c r="AW340" s="379">
        <f t="shared" si="315"/>
        <v>0</v>
      </c>
      <c r="AX340" s="379">
        <f t="shared" si="316"/>
        <v>0</v>
      </c>
      <c r="AY340" s="379">
        <f t="shared" si="317"/>
        <v>0</v>
      </c>
    </row>
    <row r="341" spans="1:51" x14ac:dyDescent="0.2">
      <c r="A341" s="376">
        <v>12950</v>
      </c>
      <c r="B341" s="378" t="str">
        <f t="shared" si="270"/>
        <v>Gilgandra (A)</v>
      </c>
      <c r="C341" s="377" t="str">
        <f t="shared" si="271"/>
        <v>NetWaste</v>
      </c>
      <c r="D341" s="503" t="str">
        <f t="shared" si="272"/>
        <v>N</v>
      </c>
      <c r="E341" s="503"/>
      <c r="F341"/>
      <c r="G341" s="379">
        <f t="shared" si="273"/>
        <v>4349</v>
      </c>
      <c r="H341" s="379">
        <f t="shared" si="274"/>
        <v>2097</v>
      </c>
      <c r="I341" s="379">
        <f t="shared" si="275"/>
        <v>379</v>
      </c>
      <c r="J341" s="379" t="str">
        <f t="shared" si="276"/>
        <v>Y</v>
      </c>
      <c r="K341" s="379">
        <f t="shared" si="277"/>
        <v>1069</v>
      </c>
      <c r="L341" s="379">
        <f t="shared" si="278"/>
        <v>0</v>
      </c>
      <c r="M341" s="379">
        <f t="shared" si="279"/>
        <v>1069</v>
      </c>
      <c r="N341" s="379">
        <f t="shared" si="280"/>
        <v>0</v>
      </c>
      <c r="O341" s="379">
        <f t="shared" si="281"/>
        <v>0</v>
      </c>
      <c r="P341" s="379">
        <f t="shared" si="282"/>
        <v>0</v>
      </c>
      <c r="Q341" s="379" t="str">
        <f t="shared" si="283"/>
        <v>Y</v>
      </c>
      <c r="R341" s="379" t="str">
        <f t="shared" si="284"/>
        <v>Gilgandra Waste Facility:Scrap steel</v>
      </c>
      <c r="S341" s="379" t="str">
        <f t="shared" si="285"/>
        <v>Tooraweenah Recycling Drop-off</v>
      </c>
      <c r="T341" s="379" t="str">
        <f t="shared" si="286"/>
        <v>Armatree Recycling Drop-off</v>
      </c>
      <c r="U341" s="379" t="str">
        <f t="shared" si="287"/>
        <v>Gilgandra Waste Facility: rural recycling</v>
      </c>
      <c r="V341" s="379">
        <f t="shared" si="288"/>
        <v>0</v>
      </c>
      <c r="W341" s="379">
        <f t="shared" si="289"/>
        <v>0</v>
      </c>
      <c r="X341" s="379">
        <f t="shared" si="290"/>
        <v>0</v>
      </c>
      <c r="Y341" s="379">
        <f t="shared" si="291"/>
        <v>0</v>
      </c>
      <c r="Z341" s="379">
        <f t="shared" si="292"/>
        <v>0</v>
      </c>
      <c r="AA341" s="379">
        <f t="shared" si="293"/>
        <v>0</v>
      </c>
      <c r="AB341" s="379">
        <f t="shared" si="294"/>
        <v>0</v>
      </c>
      <c r="AC341" s="379">
        <f t="shared" si="295"/>
        <v>0</v>
      </c>
      <c r="AD341" s="379">
        <f t="shared" si="296"/>
        <v>0</v>
      </c>
      <c r="AE341" s="379">
        <f t="shared" si="297"/>
        <v>0</v>
      </c>
      <c r="AF341" s="379">
        <f t="shared" si="298"/>
        <v>0</v>
      </c>
      <c r="AG341" s="379">
        <f t="shared" si="299"/>
        <v>0</v>
      </c>
      <c r="AH341" s="379">
        <f t="shared" si="300"/>
        <v>0</v>
      </c>
      <c r="AI341" s="379">
        <f t="shared" si="301"/>
        <v>0</v>
      </c>
      <c r="AJ341" s="379">
        <f t="shared" si="302"/>
        <v>0</v>
      </c>
      <c r="AK341" s="379">
        <f t="shared" si="303"/>
        <v>0</v>
      </c>
      <c r="AL341" s="379">
        <f t="shared" si="304"/>
        <v>0</v>
      </c>
      <c r="AM341" s="379">
        <f t="shared" si="305"/>
        <v>0</v>
      </c>
      <c r="AN341" s="490">
        <f t="shared" si="306"/>
        <v>0</v>
      </c>
      <c r="AO341" s="379">
        <f t="shared" si="307"/>
        <v>0</v>
      </c>
      <c r="AP341" s="379">
        <f t="shared" si="308"/>
        <v>0</v>
      </c>
      <c r="AQ341" s="379">
        <f t="shared" si="309"/>
        <v>0</v>
      </c>
      <c r="AR341" s="379">
        <f t="shared" si="310"/>
        <v>0</v>
      </c>
      <c r="AS341" s="379">
        <f t="shared" si="311"/>
        <v>0</v>
      </c>
      <c r="AT341" s="379">
        <f t="shared" si="312"/>
        <v>0</v>
      </c>
      <c r="AU341" s="379">
        <f t="shared" si="313"/>
        <v>0</v>
      </c>
      <c r="AV341" s="379">
        <f t="shared" si="314"/>
        <v>0</v>
      </c>
      <c r="AW341" s="379">
        <f t="shared" si="315"/>
        <v>0</v>
      </c>
      <c r="AX341" s="379">
        <f t="shared" si="316"/>
        <v>0</v>
      </c>
      <c r="AY341" s="379">
        <f t="shared" si="317"/>
        <v>0</v>
      </c>
    </row>
    <row r="342" spans="1:51" x14ac:dyDescent="0.2">
      <c r="A342" s="376">
        <v>13010</v>
      </c>
      <c r="B342" s="378" t="str">
        <f t="shared" si="270"/>
        <v>Glen Innes Severn (A)</v>
      </c>
      <c r="C342" s="377" t="str">
        <f t="shared" si="271"/>
        <v>NIRW</v>
      </c>
      <c r="D342" s="503" t="str">
        <f t="shared" si="272"/>
        <v>N</v>
      </c>
      <c r="E342" s="503"/>
      <c r="F342"/>
      <c r="G342" s="379">
        <f t="shared" si="273"/>
        <v>9001</v>
      </c>
      <c r="H342" s="379">
        <f t="shared" si="274"/>
        <v>4280</v>
      </c>
      <c r="I342" s="379">
        <f t="shared" si="275"/>
        <v>300</v>
      </c>
      <c r="J342" s="379" t="str">
        <f t="shared" si="276"/>
        <v>Y</v>
      </c>
      <c r="K342" s="379">
        <f t="shared" si="277"/>
        <v>3792</v>
      </c>
      <c r="L342" s="379">
        <f t="shared" si="278"/>
        <v>0</v>
      </c>
      <c r="M342" s="379">
        <f t="shared" si="279"/>
        <v>3792</v>
      </c>
      <c r="N342" s="379">
        <f t="shared" si="280"/>
        <v>0</v>
      </c>
      <c r="O342" s="379">
        <f t="shared" si="281"/>
        <v>0</v>
      </c>
      <c r="P342" s="379">
        <f t="shared" si="282"/>
        <v>0</v>
      </c>
      <c r="Q342" s="379" t="str">
        <f t="shared" si="283"/>
        <v>Y</v>
      </c>
      <c r="R342" s="379" t="str">
        <f t="shared" si="284"/>
        <v>Glen Innes and District Community Recycling Centre</v>
      </c>
      <c r="S342" s="379" t="str">
        <f t="shared" si="285"/>
        <v>Emmavliie Landfill</v>
      </c>
      <c r="T342" s="379" t="str">
        <f t="shared" si="286"/>
        <v>Deepwater Landfill</v>
      </c>
      <c r="U342" s="379" t="str">
        <f t="shared" si="287"/>
        <v>Red Range Landfill</v>
      </c>
      <c r="V342" s="379">
        <f t="shared" si="288"/>
        <v>0</v>
      </c>
      <c r="W342" s="379">
        <f t="shared" si="289"/>
        <v>0</v>
      </c>
      <c r="X342" s="379">
        <f t="shared" si="290"/>
        <v>0</v>
      </c>
      <c r="Y342" s="379">
        <f t="shared" si="291"/>
        <v>0</v>
      </c>
      <c r="Z342" s="379">
        <f t="shared" si="292"/>
        <v>0</v>
      </c>
      <c r="AA342" s="379">
        <f t="shared" si="293"/>
        <v>0</v>
      </c>
      <c r="AB342" s="379">
        <f t="shared" si="294"/>
        <v>0</v>
      </c>
      <c r="AC342" s="379">
        <f t="shared" si="295"/>
        <v>0</v>
      </c>
      <c r="AD342" s="379">
        <f t="shared" si="296"/>
        <v>0</v>
      </c>
      <c r="AE342" s="379">
        <f t="shared" si="297"/>
        <v>0</v>
      </c>
      <c r="AF342" s="379">
        <f t="shared" si="298"/>
        <v>0</v>
      </c>
      <c r="AG342" s="379">
        <f t="shared" si="299"/>
        <v>0</v>
      </c>
      <c r="AH342" s="379">
        <f t="shared" si="300"/>
        <v>0</v>
      </c>
      <c r="AI342" s="379">
        <f t="shared" si="301"/>
        <v>0</v>
      </c>
      <c r="AJ342" s="379">
        <f t="shared" si="302"/>
        <v>0</v>
      </c>
      <c r="AK342" s="379">
        <f t="shared" si="303"/>
        <v>0</v>
      </c>
      <c r="AL342" s="379">
        <f t="shared" si="304"/>
        <v>0</v>
      </c>
      <c r="AM342" s="379">
        <f t="shared" si="305"/>
        <v>0</v>
      </c>
      <c r="AN342" s="490">
        <f t="shared" si="306"/>
        <v>0</v>
      </c>
      <c r="AO342" s="379">
        <f t="shared" si="307"/>
        <v>0</v>
      </c>
      <c r="AP342" s="379">
        <f t="shared" si="308"/>
        <v>0</v>
      </c>
      <c r="AQ342" s="379">
        <f t="shared" si="309"/>
        <v>0</v>
      </c>
      <c r="AR342" s="379">
        <f t="shared" si="310"/>
        <v>0</v>
      </c>
      <c r="AS342" s="379">
        <f t="shared" si="311"/>
        <v>0</v>
      </c>
      <c r="AT342" s="379">
        <f t="shared" si="312"/>
        <v>0</v>
      </c>
      <c r="AU342" s="379">
        <f t="shared" si="313"/>
        <v>0</v>
      </c>
      <c r="AV342" s="379">
        <f t="shared" si="314"/>
        <v>0</v>
      </c>
      <c r="AW342" s="379">
        <f t="shared" si="315"/>
        <v>0</v>
      </c>
      <c r="AX342" s="379">
        <f t="shared" si="316"/>
        <v>0</v>
      </c>
      <c r="AY342" s="379">
        <f t="shared" si="317"/>
        <v>0</v>
      </c>
    </row>
    <row r="343" spans="1:51" x14ac:dyDescent="0.2">
      <c r="A343" s="376">
        <v>13310</v>
      </c>
      <c r="B343" s="378" t="str">
        <f t="shared" ref="B343:B374" si="318">VLOOKUP($A343,$A$5:$L$133,2,FALSE)</f>
        <v>Goulburn Mulwaree (A)</v>
      </c>
      <c r="C343" s="377" t="str">
        <f t="shared" ref="C343:C374" si="319">VLOOKUP($A343,$A$5:$L$133,3,FALSE)</f>
        <v>CBRJO</v>
      </c>
      <c r="D343" s="503" t="str">
        <f t="shared" ref="D343:D374" si="320">VLOOKUP($A343,$A$5:$L$133,4,FALSE)</f>
        <v>N</v>
      </c>
      <c r="E343" s="503"/>
      <c r="F343"/>
      <c r="G343" s="379">
        <f t="shared" ref="G343:G374" si="321">VLOOKUP($A343,$A$5:$AY$132,7,FALSE)</f>
        <v>29918</v>
      </c>
      <c r="H343" s="379">
        <f t="shared" ref="H343:H374" si="322">VLOOKUP($A343,$A$5:$AY$132,8,FALSE)</f>
        <v>14019</v>
      </c>
      <c r="I343" s="379">
        <f t="shared" ref="I343:I374" si="323">VLOOKUP($A343,$A$5:$AY$132,9,FALSE)</f>
        <v>287</v>
      </c>
      <c r="J343" s="379" t="str">
        <f t="shared" ref="J343:J374" si="324">VLOOKUP($A343,$A$5:$AY$132,10,FALSE)</f>
        <v>Y</v>
      </c>
      <c r="K343" s="379">
        <f t="shared" ref="K343:K374" si="325">VLOOKUP($A343,$A$5:$AY$132,11,FALSE)</f>
        <v>10750</v>
      </c>
      <c r="L343" s="379">
        <f t="shared" ref="L343:L374" si="326">VLOOKUP($A343,$A$5:$AY$132,12,FALSE)</f>
        <v>0</v>
      </c>
      <c r="M343" s="379">
        <f t="shared" ref="M343:M374" si="327">VLOOKUP($A343,$A$4:$AY$132,13,FALSE)</f>
        <v>10771</v>
      </c>
      <c r="N343" s="379">
        <f t="shared" ref="N343:N374" si="328">VLOOKUP($A343,$A$4:$AY$132,14,FALSE)</f>
        <v>0</v>
      </c>
      <c r="O343" s="379">
        <f t="shared" ref="O343:O374" si="329">VLOOKUP($A343,$A$4:$AY$132,15,FALSE)</f>
        <v>4297</v>
      </c>
      <c r="P343" s="379" t="str">
        <f t="shared" ref="P343:P374" si="330">VLOOKUP($A343,$A$4:$AY$132,16,FALSE)</f>
        <v>Y</v>
      </c>
      <c r="Q343" s="379" t="str">
        <f t="shared" ref="Q343:Q374" si="331">VLOOKUP($A343,$A$4:$AY$132,17,FALSE)</f>
        <v>Y</v>
      </c>
      <c r="R343" s="379" t="str">
        <f t="shared" ref="R343:R374" si="332">VLOOKUP($A343,$A$4:$AY$132,18,FALSE)</f>
        <v>Goulburn Waste Management Centre</v>
      </c>
      <c r="S343" s="379" t="str">
        <f t="shared" ref="S343:S374" si="333">VLOOKUP($A343,$A$4:$AY$132,19,FALSE)</f>
        <v>Marulan Waste Management Centre</v>
      </c>
      <c r="T343" s="379" t="str">
        <f t="shared" ref="T343:T374" si="334">VLOOKUP($A343,$A$4:$AY$132,20,FALSE)</f>
        <v>Tarago Waste Management Centre</v>
      </c>
      <c r="U343" s="379">
        <f t="shared" ref="U343:U374" si="335">VLOOKUP($A343,$A$4:$AY$132,21,FALSE)</f>
        <v>0</v>
      </c>
      <c r="V343" s="379">
        <f t="shared" ref="V343:V374" si="336">VLOOKUP($A343,$A$4:$AY$132,22,FALSE)</f>
        <v>0</v>
      </c>
      <c r="W343" s="379">
        <f t="shared" ref="W343:W374" si="337">VLOOKUP($A343,$A$4:$AY$132,23,FALSE)</f>
        <v>0</v>
      </c>
      <c r="X343" s="379">
        <f t="shared" ref="X343:X374" si="338">VLOOKUP($A343,$A$4:$AY$132,24,FALSE)</f>
        <v>0</v>
      </c>
      <c r="Y343" s="379">
        <f t="shared" ref="Y343:Y374" si="339">VLOOKUP($A343,$A$4:$AY$132,25,FALSE)</f>
        <v>0</v>
      </c>
      <c r="Z343" s="379">
        <f t="shared" ref="Z343:Z374" si="340">VLOOKUP($A343,$A$4:$AY$132,26,FALSE)</f>
        <v>0</v>
      </c>
      <c r="AA343" s="379">
        <f t="shared" ref="AA343:AA374" si="341">VLOOKUP($A343,$A$4:$AY$132,27,FALSE)</f>
        <v>0</v>
      </c>
      <c r="AB343" s="379">
        <f t="shared" ref="AB343:AB374" si="342">VLOOKUP($A343,$A$4:$AY$132,28,FALSE)</f>
        <v>0</v>
      </c>
      <c r="AC343" s="379">
        <f t="shared" ref="AC343:AC374" si="343">VLOOKUP($A343,$A$4:$AY$132,29,FALSE)</f>
        <v>0</v>
      </c>
      <c r="AD343" s="379">
        <f t="shared" ref="AD343:AD374" si="344">VLOOKUP($A343,$A$4:$AY$132,30,FALSE)</f>
        <v>0</v>
      </c>
      <c r="AE343" s="379">
        <f t="shared" ref="AE343:AE374" si="345">VLOOKUP($A343,$A$4:$AY$132,31,FALSE)</f>
        <v>0</v>
      </c>
      <c r="AF343" s="379">
        <f t="shared" ref="AF343:AF374" si="346">VLOOKUP($A343,$A$4:$AY$132,32,FALSE)</f>
        <v>0</v>
      </c>
      <c r="AG343" s="379">
        <f t="shared" ref="AG343:AG374" si="347">VLOOKUP($A343,$A$4:$AY$132,33,FALSE)</f>
        <v>0</v>
      </c>
      <c r="AH343" s="379">
        <f t="shared" ref="AH343:AH374" si="348">VLOOKUP($A343,$A$4:$AY$132,34,FALSE)</f>
        <v>0</v>
      </c>
      <c r="AI343" s="379">
        <f t="shared" ref="AI343:AI374" si="349">VLOOKUP($A343,$A$4:$AY$132,35,FALSE)</f>
        <v>0</v>
      </c>
      <c r="AJ343" s="379">
        <f t="shared" ref="AJ343:AJ374" si="350">VLOOKUP($A343,$A$4:$AY$132,36,FALSE)</f>
        <v>0</v>
      </c>
      <c r="AK343" s="379">
        <f t="shared" ref="AK343:AK374" si="351">VLOOKUP($A343,$A$4:$AY$132,37,FALSE)</f>
        <v>0</v>
      </c>
      <c r="AL343" s="379">
        <f t="shared" ref="AL343:AL374" si="352">VLOOKUP($A343,$A$4:$AY$132,38,FALSE)</f>
        <v>0</v>
      </c>
      <c r="AM343" s="379">
        <f t="shared" ref="AM343:AM374" si="353">VLOOKUP($A343,$A$4:$AY$132,39,FALSE)</f>
        <v>0</v>
      </c>
      <c r="AN343" s="490">
        <f t="shared" ref="AN343:AN374" si="354">VLOOKUP($A343,$A$4:$AY$132,40,FALSE)</f>
        <v>0</v>
      </c>
      <c r="AO343" s="379">
        <f t="shared" ref="AO343:AO374" si="355">VLOOKUP($A343,$A$4:$AY$132,41,FALSE)</f>
        <v>0</v>
      </c>
      <c r="AP343" s="379">
        <f t="shared" ref="AP343:AP374" si="356">VLOOKUP($A343,$A$4:$AY$132,42,FALSE)</f>
        <v>0</v>
      </c>
      <c r="AQ343" s="379">
        <f t="shared" ref="AQ343:AQ374" si="357">VLOOKUP($A343,$A$4:$AY$132,43,FALSE)</f>
        <v>0</v>
      </c>
      <c r="AR343" s="379">
        <f t="shared" ref="AR343:AR374" si="358">VLOOKUP($A343,$A$4:$AY$132,44,FALSE)</f>
        <v>0</v>
      </c>
      <c r="AS343" s="379">
        <f t="shared" ref="AS343:AS374" si="359">VLOOKUP($A343,$A$4:$AY$132,45,FALSE)</f>
        <v>0</v>
      </c>
      <c r="AT343" s="379">
        <f t="shared" ref="AT343:AT374" si="360">VLOOKUP($A343,$A$4:$AY$132,46,FALSE)</f>
        <v>0</v>
      </c>
      <c r="AU343" s="379">
        <f t="shared" ref="AU343:AU374" si="361">VLOOKUP($A343,$A$4:$AY$132,47,FALSE)</f>
        <v>0</v>
      </c>
      <c r="AV343" s="379">
        <f t="shared" ref="AV343:AV374" si="362">VLOOKUP($A343,$A$4:$AY$132,48,FALSE)</f>
        <v>0</v>
      </c>
      <c r="AW343" s="379">
        <f t="shared" ref="AW343:AW374" si="363">VLOOKUP($A343,$A$4:$AY$132,49,FALSE)</f>
        <v>0</v>
      </c>
      <c r="AX343" s="379">
        <f t="shared" ref="AX343:AX374" si="364">VLOOKUP($A343,$A$4:$AY$132,50,FALSE)</f>
        <v>0</v>
      </c>
      <c r="AY343" s="379">
        <f t="shared" ref="AY343:AY374" si="365">VLOOKUP($A343,$A$4:$AY$132,51,FALSE)</f>
        <v>0</v>
      </c>
    </row>
    <row r="344" spans="1:51" x14ac:dyDescent="0.2">
      <c r="A344" s="376">
        <v>13340</v>
      </c>
      <c r="B344" s="378" t="str">
        <f t="shared" si="318"/>
        <v>Greater Hume Shire (A)</v>
      </c>
      <c r="C344" s="377" t="str">
        <f t="shared" si="319"/>
        <v>REROC</v>
      </c>
      <c r="D344" s="503" t="str">
        <f t="shared" si="320"/>
        <v>N</v>
      </c>
      <c r="E344" s="503"/>
      <c r="F344"/>
      <c r="G344" s="379">
        <f t="shared" si="321"/>
        <v>10406</v>
      </c>
      <c r="H344" s="379">
        <f t="shared" si="322"/>
        <v>3620</v>
      </c>
      <c r="I344" s="379">
        <f t="shared" si="323"/>
        <v>239</v>
      </c>
      <c r="J344" s="379" t="str">
        <f t="shared" si="324"/>
        <v>Y</v>
      </c>
      <c r="K344" s="379">
        <f t="shared" si="325"/>
        <v>2930</v>
      </c>
      <c r="L344" s="379">
        <f t="shared" si="326"/>
        <v>0</v>
      </c>
      <c r="M344" s="379">
        <f t="shared" si="327"/>
        <v>2880</v>
      </c>
      <c r="N344" s="379">
        <f t="shared" si="328"/>
        <v>0</v>
      </c>
      <c r="O344" s="379">
        <f t="shared" si="329"/>
        <v>0</v>
      </c>
      <c r="P344" s="379">
        <f t="shared" si="330"/>
        <v>0</v>
      </c>
      <c r="Q344" s="379" t="str">
        <f t="shared" si="331"/>
        <v>Y</v>
      </c>
      <c r="R344" s="379" t="str">
        <f t="shared" si="332"/>
        <v>culcairn</v>
      </c>
      <c r="S344" s="379" t="str">
        <f t="shared" si="333"/>
        <v>Holbrook</v>
      </c>
      <c r="T344" s="379" t="str">
        <f t="shared" si="334"/>
        <v>Brocklesby</v>
      </c>
      <c r="U344" s="379" t="str">
        <f t="shared" si="335"/>
        <v>Gerogery</v>
      </c>
      <c r="V344" s="379" t="str">
        <f t="shared" si="336"/>
        <v>Jindera</v>
      </c>
      <c r="W344" s="379" t="str">
        <f t="shared" si="337"/>
        <v>other</v>
      </c>
      <c r="X344" s="379">
        <f t="shared" si="338"/>
        <v>0</v>
      </c>
      <c r="Y344" s="379">
        <f t="shared" si="339"/>
        <v>0</v>
      </c>
      <c r="Z344" s="379">
        <f t="shared" si="340"/>
        <v>0</v>
      </c>
      <c r="AA344" s="379">
        <f t="shared" si="341"/>
        <v>0</v>
      </c>
      <c r="AB344" s="379">
        <f t="shared" si="342"/>
        <v>0</v>
      </c>
      <c r="AC344" s="379">
        <f t="shared" si="343"/>
        <v>0</v>
      </c>
      <c r="AD344" s="379">
        <f t="shared" si="344"/>
        <v>0</v>
      </c>
      <c r="AE344" s="379">
        <f t="shared" si="345"/>
        <v>0</v>
      </c>
      <c r="AF344" s="379">
        <f t="shared" si="346"/>
        <v>0</v>
      </c>
      <c r="AG344" s="379">
        <f t="shared" si="347"/>
        <v>0</v>
      </c>
      <c r="AH344" s="379">
        <f t="shared" si="348"/>
        <v>0</v>
      </c>
      <c r="AI344" s="379">
        <f t="shared" si="349"/>
        <v>0</v>
      </c>
      <c r="AJ344" s="379">
        <f t="shared" si="350"/>
        <v>0</v>
      </c>
      <c r="AK344" s="379">
        <f t="shared" si="351"/>
        <v>0</v>
      </c>
      <c r="AL344" s="379">
        <f t="shared" si="352"/>
        <v>0</v>
      </c>
      <c r="AM344" s="379">
        <f t="shared" si="353"/>
        <v>0</v>
      </c>
      <c r="AN344" s="490">
        <f t="shared" si="354"/>
        <v>0</v>
      </c>
      <c r="AO344" s="379">
        <f t="shared" si="355"/>
        <v>0</v>
      </c>
      <c r="AP344" s="379">
        <f t="shared" si="356"/>
        <v>0</v>
      </c>
      <c r="AQ344" s="379">
        <f t="shared" si="357"/>
        <v>0</v>
      </c>
      <c r="AR344" s="379">
        <f t="shared" si="358"/>
        <v>0</v>
      </c>
      <c r="AS344" s="379">
        <f t="shared" si="359"/>
        <v>0</v>
      </c>
      <c r="AT344" s="379">
        <f t="shared" si="360"/>
        <v>0</v>
      </c>
      <c r="AU344" s="379">
        <f t="shared" si="361"/>
        <v>0</v>
      </c>
      <c r="AV344" s="379">
        <f t="shared" si="362"/>
        <v>0</v>
      </c>
      <c r="AW344" s="379">
        <f t="shared" si="363"/>
        <v>0</v>
      </c>
      <c r="AX344" s="379">
        <f t="shared" si="364"/>
        <v>0</v>
      </c>
      <c r="AY344" s="379">
        <f t="shared" si="365"/>
        <v>0</v>
      </c>
    </row>
    <row r="345" spans="1:51" x14ac:dyDescent="0.2">
      <c r="A345" s="376">
        <v>13450</v>
      </c>
      <c r="B345" s="378" t="str">
        <f t="shared" si="318"/>
        <v>Griffith (C)</v>
      </c>
      <c r="C345" s="377" t="str">
        <f t="shared" si="319"/>
        <v>RAMROC Riverina</v>
      </c>
      <c r="D345" s="503" t="str">
        <f t="shared" si="320"/>
        <v>N</v>
      </c>
      <c r="E345" s="503"/>
      <c r="F345"/>
      <c r="G345" s="379">
        <f t="shared" si="321"/>
        <v>26125</v>
      </c>
      <c r="H345" s="379">
        <f t="shared" si="322"/>
        <v>10531</v>
      </c>
      <c r="I345" s="379">
        <f t="shared" si="323"/>
        <v>268</v>
      </c>
      <c r="J345" s="379" t="str">
        <f t="shared" si="324"/>
        <v>Y</v>
      </c>
      <c r="K345" s="379">
        <f t="shared" si="325"/>
        <v>9426</v>
      </c>
      <c r="L345" s="379">
        <f t="shared" si="326"/>
        <v>0</v>
      </c>
      <c r="M345" s="379">
        <f t="shared" si="327"/>
        <v>8806</v>
      </c>
      <c r="N345" s="379">
        <f t="shared" si="328"/>
        <v>0</v>
      </c>
      <c r="O345" s="379">
        <f t="shared" si="329"/>
        <v>0</v>
      </c>
      <c r="P345" s="379">
        <f t="shared" si="330"/>
        <v>0</v>
      </c>
      <c r="Q345" s="379" t="str">
        <f t="shared" si="331"/>
        <v>Y</v>
      </c>
      <c r="R345" s="379" t="str">
        <f t="shared" si="332"/>
        <v>Tharbogang Waste Transfer Station</v>
      </c>
      <c r="S345" s="379">
        <f t="shared" si="333"/>
        <v>0</v>
      </c>
      <c r="T345" s="379">
        <f t="shared" si="334"/>
        <v>0</v>
      </c>
      <c r="U345" s="379">
        <f t="shared" si="335"/>
        <v>0</v>
      </c>
      <c r="V345" s="379">
        <f t="shared" si="336"/>
        <v>0</v>
      </c>
      <c r="W345" s="379">
        <f t="shared" si="337"/>
        <v>0</v>
      </c>
      <c r="X345" s="379">
        <f t="shared" si="338"/>
        <v>0</v>
      </c>
      <c r="Y345" s="379">
        <f t="shared" si="339"/>
        <v>0</v>
      </c>
      <c r="Z345" s="379">
        <f t="shared" si="340"/>
        <v>0</v>
      </c>
      <c r="AA345" s="379">
        <f t="shared" si="341"/>
        <v>0</v>
      </c>
      <c r="AB345" s="379">
        <f t="shared" si="342"/>
        <v>0</v>
      </c>
      <c r="AC345" s="379">
        <f t="shared" si="343"/>
        <v>0</v>
      </c>
      <c r="AD345" s="379">
        <f t="shared" si="344"/>
        <v>0</v>
      </c>
      <c r="AE345" s="379">
        <f t="shared" si="345"/>
        <v>0</v>
      </c>
      <c r="AF345" s="379">
        <f t="shared" si="346"/>
        <v>0</v>
      </c>
      <c r="AG345" s="379">
        <f t="shared" si="347"/>
        <v>0</v>
      </c>
      <c r="AH345" s="379">
        <f t="shared" si="348"/>
        <v>0</v>
      </c>
      <c r="AI345" s="379">
        <f t="shared" si="349"/>
        <v>0</v>
      </c>
      <c r="AJ345" s="379">
        <f t="shared" si="350"/>
        <v>0</v>
      </c>
      <c r="AK345" s="379">
        <f t="shared" si="351"/>
        <v>0</v>
      </c>
      <c r="AL345" s="379">
        <f t="shared" si="352"/>
        <v>0</v>
      </c>
      <c r="AM345" s="379">
        <f t="shared" si="353"/>
        <v>0</v>
      </c>
      <c r="AN345" s="490">
        <f t="shared" si="354"/>
        <v>0</v>
      </c>
      <c r="AO345" s="379">
        <f t="shared" si="355"/>
        <v>0</v>
      </c>
      <c r="AP345" s="379">
        <f t="shared" si="356"/>
        <v>0</v>
      </c>
      <c r="AQ345" s="379">
        <f t="shared" si="357"/>
        <v>0</v>
      </c>
      <c r="AR345" s="379">
        <f t="shared" si="358"/>
        <v>0</v>
      </c>
      <c r="AS345" s="379">
        <f t="shared" si="359"/>
        <v>0</v>
      </c>
      <c r="AT345" s="379">
        <f t="shared" si="360"/>
        <v>0</v>
      </c>
      <c r="AU345" s="379">
        <f t="shared" si="361"/>
        <v>0</v>
      </c>
      <c r="AV345" s="379">
        <f t="shared" si="362"/>
        <v>0</v>
      </c>
      <c r="AW345" s="379">
        <f t="shared" si="363"/>
        <v>0</v>
      </c>
      <c r="AX345" s="379">
        <f t="shared" si="364"/>
        <v>0</v>
      </c>
      <c r="AY345" s="379">
        <f t="shared" si="365"/>
        <v>0</v>
      </c>
    </row>
    <row r="346" spans="1:51" x14ac:dyDescent="0.2">
      <c r="A346" s="376">
        <v>13510</v>
      </c>
      <c r="B346" s="378" t="str">
        <f t="shared" si="318"/>
        <v>Gundagai - Cootamundra (A)</v>
      </c>
      <c r="C346" s="377" t="str">
        <f t="shared" si="319"/>
        <v>REROC</v>
      </c>
      <c r="D346" s="503" t="str">
        <f t="shared" si="320"/>
        <v>N</v>
      </c>
      <c r="E346" s="503"/>
      <c r="F346"/>
      <c r="G346" s="379">
        <f t="shared" si="321"/>
        <v>11392</v>
      </c>
      <c r="H346" s="379">
        <f t="shared" si="322"/>
        <v>5193</v>
      </c>
      <c r="I346" s="379">
        <f t="shared" si="323"/>
        <v>385.5</v>
      </c>
      <c r="J346" s="379" t="str">
        <f t="shared" si="324"/>
        <v>Y</v>
      </c>
      <c r="K346" s="379">
        <f t="shared" si="325"/>
        <v>5193</v>
      </c>
      <c r="L346" s="379">
        <f t="shared" si="326"/>
        <v>0</v>
      </c>
      <c r="M346" s="379">
        <f t="shared" si="327"/>
        <v>5193</v>
      </c>
      <c r="N346" s="379">
        <f t="shared" si="328"/>
        <v>3495</v>
      </c>
      <c r="O346" s="379">
        <f t="shared" si="329"/>
        <v>880</v>
      </c>
      <c r="P346" s="379">
        <f t="shared" si="330"/>
        <v>0</v>
      </c>
      <c r="Q346" s="379" t="str">
        <f t="shared" si="331"/>
        <v>Y</v>
      </c>
      <c r="R346" s="379" t="str">
        <f t="shared" si="332"/>
        <v>Turners Lane</v>
      </c>
      <c r="S346" s="379" t="str">
        <f t="shared" si="333"/>
        <v>Stockinbingal Landfill</v>
      </c>
      <c r="T346" s="379" t="str">
        <f t="shared" si="334"/>
        <v>Wallendbeen Landfill</v>
      </c>
      <c r="U346" s="379" t="str">
        <f t="shared" si="335"/>
        <v xml:space="preserve">Gundagai Landfill </v>
      </c>
      <c r="V346" s="379" t="str">
        <f t="shared" si="336"/>
        <v>4 transfer stations</v>
      </c>
      <c r="W346" s="379">
        <f t="shared" si="337"/>
        <v>0</v>
      </c>
      <c r="X346" s="379">
        <f t="shared" si="338"/>
        <v>0</v>
      </c>
      <c r="Y346" s="379">
        <f t="shared" si="339"/>
        <v>0</v>
      </c>
      <c r="Z346" s="379">
        <f t="shared" si="340"/>
        <v>0</v>
      </c>
      <c r="AA346" s="379">
        <f t="shared" si="341"/>
        <v>0</v>
      </c>
      <c r="AB346" s="379">
        <f t="shared" si="342"/>
        <v>0</v>
      </c>
      <c r="AC346" s="379">
        <f t="shared" si="343"/>
        <v>0</v>
      </c>
      <c r="AD346" s="379">
        <f t="shared" si="344"/>
        <v>0</v>
      </c>
      <c r="AE346" s="379">
        <f t="shared" si="345"/>
        <v>0</v>
      </c>
      <c r="AF346" s="379">
        <f t="shared" si="346"/>
        <v>0</v>
      </c>
      <c r="AG346" s="379">
        <f t="shared" si="347"/>
        <v>0</v>
      </c>
      <c r="AH346" s="379">
        <f t="shared" si="348"/>
        <v>0</v>
      </c>
      <c r="AI346" s="379">
        <f t="shared" si="349"/>
        <v>0</v>
      </c>
      <c r="AJ346" s="379">
        <f t="shared" si="350"/>
        <v>0</v>
      </c>
      <c r="AK346" s="379">
        <f t="shared" si="351"/>
        <v>0</v>
      </c>
      <c r="AL346" s="379">
        <f t="shared" si="352"/>
        <v>0</v>
      </c>
      <c r="AM346" s="379">
        <f t="shared" si="353"/>
        <v>0</v>
      </c>
      <c r="AN346" s="490">
        <f t="shared" si="354"/>
        <v>0</v>
      </c>
      <c r="AO346" s="379">
        <f t="shared" si="355"/>
        <v>0</v>
      </c>
      <c r="AP346" s="379">
        <f t="shared" si="356"/>
        <v>0</v>
      </c>
      <c r="AQ346" s="379">
        <f t="shared" si="357"/>
        <v>0</v>
      </c>
      <c r="AR346" s="379">
        <f t="shared" si="358"/>
        <v>0</v>
      </c>
      <c r="AS346" s="379">
        <f t="shared" si="359"/>
        <v>0</v>
      </c>
      <c r="AT346" s="379">
        <f t="shared" si="360"/>
        <v>0</v>
      </c>
      <c r="AU346" s="379">
        <f t="shared" si="361"/>
        <v>0</v>
      </c>
      <c r="AV346" s="379">
        <f t="shared" si="362"/>
        <v>0</v>
      </c>
      <c r="AW346" s="379">
        <f t="shared" si="363"/>
        <v>0</v>
      </c>
      <c r="AX346" s="379">
        <f t="shared" si="364"/>
        <v>0</v>
      </c>
      <c r="AY346" s="379">
        <f t="shared" si="365"/>
        <v>0</v>
      </c>
    </row>
    <row r="347" spans="1:51" x14ac:dyDescent="0.2">
      <c r="A347" s="376">
        <v>13550</v>
      </c>
      <c r="B347" s="378" t="str">
        <f t="shared" si="318"/>
        <v>Gunnedah (A)</v>
      </c>
      <c r="C347" s="377" t="str">
        <f t="shared" si="319"/>
        <v>NIRW</v>
      </c>
      <c r="D347" s="503" t="str">
        <f t="shared" si="320"/>
        <v>N</v>
      </c>
      <c r="E347" s="503"/>
      <c r="F347"/>
      <c r="G347" s="379">
        <f t="shared" si="321"/>
        <v>12989</v>
      </c>
      <c r="H347" s="379">
        <f t="shared" si="322"/>
        <v>4277</v>
      </c>
      <c r="I347" s="379">
        <f t="shared" si="323"/>
        <v>344</v>
      </c>
      <c r="J347" s="379" t="str">
        <f t="shared" si="324"/>
        <v>Y</v>
      </c>
      <c r="K347" s="379">
        <f t="shared" si="325"/>
        <v>4277</v>
      </c>
      <c r="L347" s="379">
        <f t="shared" si="326"/>
        <v>0</v>
      </c>
      <c r="M347" s="379">
        <f t="shared" si="327"/>
        <v>4277</v>
      </c>
      <c r="N347" s="379">
        <f t="shared" si="328"/>
        <v>3392</v>
      </c>
      <c r="O347" s="379">
        <f t="shared" si="329"/>
        <v>0</v>
      </c>
      <c r="P347" s="379">
        <f t="shared" si="330"/>
        <v>0</v>
      </c>
      <c r="Q347" s="379" t="str">
        <f t="shared" si="331"/>
        <v>Y</v>
      </c>
      <c r="R347" s="379" t="str">
        <f t="shared" si="332"/>
        <v>Gunnedah Waste Management Facility</v>
      </c>
      <c r="S347" s="379" t="str">
        <f t="shared" si="333"/>
        <v>Curlewis Waste Facility</v>
      </c>
      <c r="T347" s="379" t="str">
        <f t="shared" si="334"/>
        <v>Carroll Waste Facility</v>
      </c>
      <c r="U347" s="379" t="str">
        <f t="shared" si="335"/>
        <v>Mullaley Waste Facility</v>
      </c>
      <c r="V347" s="379" t="str">
        <f t="shared" si="336"/>
        <v>Breeza Waste Facility</v>
      </c>
      <c r="W347" s="379" t="str">
        <f t="shared" si="337"/>
        <v>Tambar Springs Facility</v>
      </c>
      <c r="X347" s="379">
        <f t="shared" si="338"/>
        <v>0</v>
      </c>
      <c r="Y347" s="379">
        <f t="shared" si="339"/>
        <v>0</v>
      </c>
      <c r="Z347" s="379">
        <f t="shared" si="340"/>
        <v>0</v>
      </c>
      <c r="AA347" s="379">
        <f t="shared" si="341"/>
        <v>0</v>
      </c>
      <c r="AB347" s="379">
        <f t="shared" si="342"/>
        <v>0</v>
      </c>
      <c r="AC347" s="379">
        <f t="shared" si="343"/>
        <v>0</v>
      </c>
      <c r="AD347" s="379">
        <f t="shared" si="344"/>
        <v>0</v>
      </c>
      <c r="AE347" s="379">
        <f t="shared" si="345"/>
        <v>0</v>
      </c>
      <c r="AF347" s="379">
        <f t="shared" si="346"/>
        <v>0</v>
      </c>
      <c r="AG347" s="379">
        <f t="shared" si="347"/>
        <v>0</v>
      </c>
      <c r="AH347" s="379">
        <f t="shared" si="348"/>
        <v>0</v>
      </c>
      <c r="AI347" s="379">
        <f t="shared" si="349"/>
        <v>0</v>
      </c>
      <c r="AJ347" s="379">
        <f t="shared" si="350"/>
        <v>0</v>
      </c>
      <c r="AK347" s="379">
        <f t="shared" si="351"/>
        <v>0</v>
      </c>
      <c r="AL347" s="379">
        <f t="shared" si="352"/>
        <v>0</v>
      </c>
      <c r="AM347" s="379">
        <f t="shared" si="353"/>
        <v>0</v>
      </c>
      <c r="AN347" s="490">
        <f t="shared" si="354"/>
        <v>0</v>
      </c>
      <c r="AO347" s="379">
        <f t="shared" si="355"/>
        <v>0</v>
      </c>
      <c r="AP347" s="379">
        <f t="shared" si="356"/>
        <v>0</v>
      </c>
      <c r="AQ347" s="379">
        <f t="shared" si="357"/>
        <v>0</v>
      </c>
      <c r="AR347" s="379">
        <f t="shared" si="358"/>
        <v>0</v>
      </c>
      <c r="AS347" s="379">
        <f t="shared" si="359"/>
        <v>0</v>
      </c>
      <c r="AT347" s="379">
        <f t="shared" si="360"/>
        <v>0</v>
      </c>
      <c r="AU347" s="379">
        <f t="shared" si="361"/>
        <v>0</v>
      </c>
      <c r="AV347" s="379">
        <f t="shared" si="362"/>
        <v>0</v>
      </c>
      <c r="AW347" s="379">
        <f t="shared" si="363"/>
        <v>0</v>
      </c>
      <c r="AX347" s="379">
        <f t="shared" si="364"/>
        <v>0</v>
      </c>
      <c r="AY347" s="379">
        <f t="shared" si="365"/>
        <v>0</v>
      </c>
    </row>
    <row r="348" spans="1:51" x14ac:dyDescent="0.2">
      <c r="A348" s="376">
        <v>13660</v>
      </c>
      <c r="B348" s="378" t="str">
        <f t="shared" si="318"/>
        <v>Gwydir (A)</v>
      </c>
      <c r="C348" s="377" t="str">
        <f t="shared" si="319"/>
        <v>NIRW</v>
      </c>
      <c r="D348" s="503" t="str">
        <f t="shared" si="320"/>
        <v>N</v>
      </c>
      <c r="E348" s="503"/>
      <c r="F348"/>
      <c r="G348" s="379">
        <f t="shared" si="321"/>
        <v>5030</v>
      </c>
      <c r="H348" s="379">
        <f t="shared" si="322"/>
        <v>1708</v>
      </c>
      <c r="I348" s="379">
        <f t="shared" si="323"/>
        <v>422</v>
      </c>
      <c r="J348" s="379" t="str">
        <f t="shared" si="324"/>
        <v>Y</v>
      </c>
      <c r="K348" s="379">
        <f t="shared" si="325"/>
        <v>1330</v>
      </c>
      <c r="L348" s="379">
        <f t="shared" si="326"/>
        <v>0</v>
      </c>
      <c r="M348" s="379">
        <f t="shared" si="327"/>
        <v>1330</v>
      </c>
      <c r="N348" s="379">
        <f t="shared" si="328"/>
        <v>0</v>
      </c>
      <c r="O348" s="379">
        <f t="shared" si="329"/>
        <v>1330</v>
      </c>
      <c r="P348" s="379">
        <f t="shared" si="330"/>
        <v>0</v>
      </c>
      <c r="Q348" s="379" t="str">
        <f t="shared" si="331"/>
        <v>Y</v>
      </c>
      <c r="R348" s="379" t="str">
        <f t="shared" si="332"/>
        <v>Bingara Landfill</v>
      </c>
      <c r="S348" s="379" t="str">
        <f t="shared" si="333"/>
        <v>Warialda Landfill</v>
      </c>
      <c r="T348" s="379" t="str">
        <f t="shared" si="334"/>
        <v>Coolatai Landfill</v>
      </c>
      <c r="U348" s="379" t="str">
        <f t="shared" si="335"/>
        <v>Croppa Creek Landfill</v>
      </c>
      <c r="V348" s="379" t="str">
        <f t="shared" si="336"/>
        <v>Gravesend Landfill</v>
      </c>
      <c r="W348" s="379" t="str">
        <f t="shared" si="337"/>
        <v>Upper Horton Landfill</v>
      </c>
      <c r="X348" s="379">
        <f t="shared" si="338"/>
        <v>0</v>
      </c>
      <c r="Y348" s="379">
        <f t="shared" si="339"/>
        <v>0</v>
      </c>
      <c r="Z348" s="379">
        <f t="shared" si="340"/>
        <v>0</v>
      </c>
      <c r="AA348" s="379">
        <f t="shared" si="341"/>
        <v>0</v>
      </c>
      <c r="AB348" s="379">
        <f t="shared" si="342"/>
        <v>0</v>
      </c>
      <c r="AC348" s="379">
        <f t="shared" si="343"/>
        <v>0</v>
      </c>
      <c r="AD348" s="379">
        <f t="shared" si="344"/>
        <v>0</v>
      </c>
      <c r="AE348" s="379">
        <f t="shared" si="345"/>
        <v>0</v>
      </c>
      <c r="AF348" s="379">
        <f t="shared" si="346"/>
        <v>0</v>
      </c>
      <c r="AG348" s="379">
        <f t="shared" si="347"/>
        <v>0</v>
      </c>
      <c r="AH348" s="379">
        <f t="shared" si="348"/>
        <v>0</v>
      </c>
      <c r="AI348" s="379">
        <f t="shared" si="349"/>
        <v>0</v>
      </c>
      <c r="AJ348" s="379">
        <f t="shared" si="350"/>
        <v>0</v>
      </c>
      <c r="AK348" s="379">
        <f t="shared" si="351"/>
        <v>0</v>
      </c>
      <c r="AL348" s="379">
        <f t="shared" si="352"/>
        <v>0</v>
      </c>
      <c r="AM348" s="379">
        <f t="shared" si="353"/>
        <v>0</v>
      </c>
      <c r="AN348" s="490">
        <f t="shared" si="354"/>
        <v>0</v>
      </c>
      <c r="AO348" s="379">
        <f t="shared" si="355"/>
        <v>0</v>
      </c>
      <c r="AP348" s="379">
        <f t="shared" si="356"/>
        <v>0</v>
      </c>
      <c r="AQ348" s="379">
        <f t="shared" si="357"/>
        <v>0</v>
      </c>
      <c r="AR348" s="379">
        <f t="shared" si="358"/>
        <v>0</v>
      </c>
      <c r="AS348" s="379">
        <f t="shared" si="359"/>
        <v>0</v>
      </c>
      <c r="AT348" s="379">
        <f t="shared" si="360"/>
        <v>0</v>
      </c>
      <c r="AU348" s="379">
        <f t="shared" si="361"/>
        <v>0</v>
      </c>
      <c r="AV348" s="379">
        <f t="shared" si="362"/>
        <v>0</v>
      </c>
      <c r="AW348" s="379">
        <f t="shared" si="363"/>
        <v>0</v>
      </c>
      <c r="AX348" s="379">
        <f t="shared" si="364"/>
        <v>0</v>
      </c>
      <c r="AY348" s="379">
        <f t="shared" si="365"/>
        <v>0</v>
      </c>
    </row>
    <row r="349" spans="1:51" x14ac:dyDescent="0.2">
      <c r="A349" s="376">
        <v>13850</v>
      </c>
      <c r="B349" s="378" t="str">
        <f t="shared" si="318"/>
        <v>Hay (A)</v>
      </c>
      <c r="C349" s="377" t="str">
        <f t="shared" si="319"/>
        <v>RAMROC Riverina</v>
      </c>
      <c r="D349" s="503" t="str">
        <f t="shared" si="320"/>
        <v>N</v>
      </c>
      <c r="E349" s="503"/>
      <c r="F349"/>
      <c r="G349" s="379">
        <f t="shared" si="321"/>
        <v>2956</v>
      </c>
      <c r="H349" s="379">
        <f t="shared" si="322"/>
        <v>1179</v>
      </c>
      <c r="I349" s="379">
        <f t="shared" si="323"/>
        <v>262</v>
      </c>
      <c r="J349" s="379" t="str">
        <f t="shared" si="324"/>
        <v>Y</v>
      </c>
      <c r="K349" s="379">
        <f t="shared" si="325"/>
        <v>1420</v>
      </c>
      <c r="L349" s="379">
        <f t="shared" si="326"/>
        <v>0</v>
      </c>
      <c r="M349" s="379">
        <f t="shared" si="327"/>
        <v>0</v>
      </c>
      <c r="N349" s="379">
        <f t="shared" si="328"/>
        <v>0</v>
      </c>
      <c r="O349" s="379">
        <f t="shared" si="329"/>
        <v>0</v>
      </c>
      <c r="P349" s="379">
        <f t="shared" si="330"/>
        <v>0</v>
      </c>
      <c r="Q349" s="379" t="str">
        <f t="shared" si="331"/>
        <v>Y</v>
      </c>
      <c r="R349" s="379" t="str">
        <f t="shared" si="332"/>
        <v>Hay Shire CRC</v>
      </c>
      <c r="S349" s="379">
        <f t="shared" si="333"/>
        <v>0</v>
      </c>
      <c r="T349" s="379">
        <f t="shared" si="334"/>
        <v>0</v>
      </c>
      <c r="U349" s="379">
        <f t="shared" si="335"/>
        <v>0</v>
      </c>
      <c r="V349" s="379">
        <f t="shared" si="336"/>
        <v>0</v>
      </c>
      <c r="W349" s="379">
        <f t="shared" si="337"/>
        <v>0</v>
      </c>
      <c r="X349" s="379">
        <f t="shared" si="338"/>
        <v>0</v>
      </c>
      <c r="Y349" s="379">
        <f t="shared" si="339"/>
        <v>0</v>
      </c>
      <c r="Z349" s="379">
        <f t="shared" si="340"/>
        <v>0</v>
      </c>
      <c r="AA349" s="379">
        <f t="shared" si="341"/>
        <v>0</v>
      </c>
      <c r="AB349" s="379">
        <f t="shared" si="342"/>
        <v>0</v>
      </c>
      <c r="AC349" s="379">
        <f t="shared" si="343"/>
        <v>0</v>
      </c>
      <c r="AD349" s="379">
        <f t="shared" si="344"/>
        <v>0</v>
      </c>
      <c r="AE349" s="379">
        <f t="shared" si="345"/>
        <v>0</v>
      </c>
      <c r="AF349" s="379">
        <f t="shared" si="346"/>
        <v>0</v>
      </c>
      <c r="AG349" s="379">
        <f t="shared" si="347"/>
        <v>0</v>
      </c>
      <c r="AH349" s="379">
        <f t="shared" si="348"/>
        <v>0</v>
      </c>
      <c r="AI349" s="379">
        <f t="shared" si="349"/>
        <v>0</v>
      </c>
      <c r="AJ349" s="379">
        <f t="shared" si="350"/>
        <v>0</v>
      </c>
      <c r="AK349" s="379">
        <f t="shared" si="351"/>
        <v>0</v>
      </c>
      <c r="AL349" s="379">
        <f t="shared" si="352"/>
        <v>0</v>
      </c>
      <c r="AM349" s="379">
        <f t="shared" si="353"/>
        <v>0</v>
      </c>
      <c r="AN349" s="490">
        <f t="shared" si="354"/>
        <v>0</v>
      </c>
      <c r="AO349" s="379">
        <f t="shared" si="355"/>
        <v>0</v>
      </c>
      <c r="AP349" s="379">
        <f t="shared" si="356"/>
        <v>0</v>
      </c>
      <c r="AQ349" s="379">
        <f t="shared" si="357"/>
        <v>0</v>
      </c>
      <c r="AR349" s="379">
        <f t="shared" si="358"/>
        <v>0</v>
      </c>
      <c r="AS349" s="379">
        <f t="shared" si="359"/>
        <v>0</v>
      </c>
      <c r="AT349" s="379">
        <f t="shared" si="360"/>
        <v>0</v>
      </c>
      <c r="AU349" s="379">
        <f t="shared" si="361"/>
        <v>0</v>
      </c>
      <c r="AV349" s="379">
        <f t="shared" si="362"/>
        <v>0</v>
      </c>
      <c r="AW349" s="379">
        <f t="shared" si="363"/>
        <v>0</v>
      </c>
      <c r="AX349" s="379">
        <f t="shared" si="364"/>
        <v>0</v>
      </c>
      <c r="AY349" s="379">
        <f t="shared" si="365"/>
        <v>0</v>
      </c>
    </row>
    <row r="350" spans="1:51" x14ac:dyDescent="0.2">
      <c r="A350" s="376">
        <v>13910</v>
      </c>
      <c r="B350" s="378" t="str">
        <f t="shared" si="318"/>
        <v>Hilltops (A)</v>
      </c>
      <c r="C350" s="377" t="str">
        <f t="shared" si="319"/>
        <v>CBRJO</v>
      </c>
      <c r="D350" s="503" t="str">
        <f t="shared" si="320"/>
        <v>N</v>
      </c>
      <c r="E350" s="503"/>
      <c r="F350"/>
      <c r="G350" s="379">
        <f t="shared" si="321"/>
        <v>18993</v>
      </c>
      <c r="H350" s="379">
        <f t="shared" si="322"/>
        <v>11024</v>
      </c>
      <c r="I350" s="379">
        <f t="shared" si="323"/>
        <v>382.5</v>
      </c>
      <c r="J350" s="379" t="str">
        <f t="shared" si="324"/>
        <v>Y</v>
      </c>
      <c r="K350" s="379">
        <f t="shared" si="325"/>
        <v>5343</v>
      </c>
      <c r="L350" s="379">
        <f t="shared" si="326"/>
        <v>0</v>
      </c>
      <c r="M350" s="379">
        <f t="shared" si="327"/>
        <v>5273</v>
      </c>
      <c r="N350" s="379">
        <f t="shared" si="328"/>
        <v>3577</v>
      </c>
      <c r="O350" s="379">
        <f t="shared" si="329"/>
        <v>987</v>
      </c>
      <c r="P350" s="379">
        <f t="shared" si="330"/>
        <v>0</v>
      </c>
      <c r="Q350" s="379" t="str">
        <f t="shared" si="331"/>
        <v>Y</v>
      </c>
      <c r="R350" s="379" t="str">
        <f t="shared" si="332"/>
        <v>Victoria Street</v>
      </c>
      <c r="S350" s="379" t="str">
        <f t="shared" si="333"/>
        <v>Redhill Road</v>
      </c>
      <c r="T350" s="379" t="str">
        <f t="shared" si="334"/>
        <v>Boorowa Landfill</v>
      </c>
      <c r="U350" s="379" t="str">
        <f t="shared" si="335"/>
        <v>Harden WTS</v>
      </c>
      <c r="V350" s="379" t="str">
        <f t="shared" si="336"/>
        <v>Koorawatha</v>
      </c>
      <c r="W350" s="379" t="str">
        <f t="shared" si="337"/>
        <v>Other Facilities</v>
      </c>
      <c r="X350" s="379">
        <f t="shared" si="338"/>
        <v>0</v>
      </c>
      <c r="Y350" s="379">
        <f t="shared" si="339"/>
        <v>0</v>
      </c>
      <c r="Z350" s="379">
        <f t="shared" si="340"/>
        <v>0</v>
      </c>
      <c r="AA350" s="379">
        <f t="shared" si="341"/>
        <v>0</v>
      </c>
      <c r="AB350" s="379">
        <f t="shared" si="342"/>
        <v>0</v>
      </c>
      <c r="AC350" s="379">
        <f t="shared" si="343"/>
        <v>0</v>
      </c>
      <c r="AD350" s="379">
        <f t="shared" si="344"/>
        <v>0</v>
      </c>
      <c r="AE350" s="379">
        <f t="shared" si="345"/>
        <v>0</v>
      </c>
      <c r="AF350" s="379">
        <f t="shared" si="346"/>
        <v>0</v>
      </c>
      <c r="AG350" s="379">
        <f t="shared" si="347"/>
        <v>0</v>
      </c>
      <c r="AH350" s="379">
        <f t="shared" si="348"/>
        <v>0</v>
      </c>
      <c r="AI350" s="379">
        <f t="shared" si="349"/>
        <v>0</v>
      </c>
      <c r="AJ350" s="379">
        <f t="shared" si="350"/>
        <v>0</v>
      </c>
      <c r="AK350" s="379">
        <f t="shared" si="351"/>
        <v>0</v>
      </c>
      <c r="AL350" s="379">
        <f t="shared" si="352"/>
        <v>0</v>
      </c>
      <c r="AM350" s="379">
        <f t="shared" si="353"/>
        <v>0</v>
      </c>
      <c r="AN350" s="490">
        <f t="shared" si="354"/>
        <v>0</v>
      </c>
      <c r="AO350" s="379">
        <f t="shared" si="355"/>
        <v>0</v>
      </c>
      <c r="AP350" s="379">
        <f t="shared" si="356"/>
        <v>0</v>
      </c>
      <c r="AQ350" s="379">
        <f t="shared" si="357"/>
        <v>0</v>
      </c>
      <c r="AR350" s="379">
        <f t="shared" si="358"/>
        <v>0</v>
      </c>
      <c r="AS350" s="379">
        <f t="shared" si="359"/>
        <v>0</v>
      </c>
      <c r="AT350" s="379">
        <f t="shared" si="360"/>
        <v>0</v>
      </c>
      <c r="AU350" s="379">
        <f t="shared" si="361"/>
        <v>0</v>
      </c>
      <c r="AV350" s="379">
        <f t="shared" si="362"/>
        <v>0</v>
      </c>
      <c r="AW350" s="379">
        <f t="shared" si="363"/>
        <v>0</v>
      </c>
      <c r="AX350" s="379">
        <f t="shared" si="364"/>
        <v>0</v>
      </c>
      <c r="AY350" s="379">
        <f t="shared" si="365"/>
        <v>0</v>
      </c>
    </row>
    <row r="351" spans="1:51" x14ac:dyDescent="0.2">
      <c r="A351" s="376">
        <v>14200</v>
      </c>
      <c r="B351" s="378" t="str">
        <f t="shared" si="318"/>
        <v>Inverell (A)</v>
      </c>
      <c r="C351" s="377" t="str">
        <f t="shared" si="319"/>
        <v>NIRW</v>
      </c>
      <c r="D351" s="503" t="str">
        <f t="shared" si="320"/>
        <v>N</v>
      </c>
      <c r="E351" s="503"/>
      <c r="F351"/>
      <c r="G351" s="379">
        <f t="shared" si="321"/>
        <v>17042</v>
      </c>
      <c r="H351" s="379">
        <f t="shared" si="322"/>
        <v>6764</v>
      </c>
      <c r="I351" s="379">
        <f t="shared" si="323"/>
        <v>300</v>
      </c>
      <c r="J351" s="379" t="str">
        <f t="shared" si="324"/>
        <v>Y</v>
      </c>
      <c r="K351" s="379">
        <f t="shared" si="325"/>
        <v>6624</v>
      </c>
      <c r="L351" s="379">
        <f t="shared" si="326"/>
        <v>0</v>
      </c>
      <c r="M351" s="379">
        <f t="shared" si="327"/>
        <v>4666</v>
      </c>
      <c r="N351" s="379">
        <f t="shared" si="328"/>
        <v>0</v>
      </c>
      <c r="O351" s="379">
        <f t="shared" si="329"/>
        <v>0</v>
      </c>
      <c r="P351" s="379">
        <f t="shared" si="330"/>
        <v>0</v>
      </c>
      <c r="Q351" s="379" t="str">
        <f t="shared" si="331"/>
        <v>Y</v>
      </c>
      <c r="R351" s="379" t="str">
        <f t="shared" si="332"/>
        <v>Ashford</v>
      </c>
      <c r="S351" s="379" t="str">
        <f t="shared" si="333"/>
        <v>Bonshaw</v>
      </c>
      <c r="T351" s="379" t="str">
        <f t="shared" si="334"/>
        <v>Yetman</v>
      </c>
      <c r="U351" s="379" t="str">
        <f t="shared" si="335"/>
        <v>Delungra</v>
      </c>
      <c r="V351" s="379">
        <f t="shared" si="336"/>
        <v>0</v>
      </c>
      <c r="W351" s="379">
        <f t="shared" si="337"/>
        <v>0</v>
      </c>
      <c r="X351" s="379">
        <f t="shared" si="338"/>
        <v>0</v>
      </c>
      <c r="Y351" s="379">
        <f t="shared" si="339"/>
        <v>0</v>
      </c>
      <c r="Z351" s="379">
        <f t="shared" si="340"/>
        <v>0</v>
      </c>
      <c r="AA351" s="379">
        <f t="shared" si="341"/>
        <v>0</v>
      </c>
      <c r="AB351" s="379">
        <f t="shared" si="342"/>
        <v>0</v>
      </c>
      <c r="AC351" s="379">
        <f t="shared" si="343"/>
        <v>0</v>
      </c>
      <c r="AD351" s="379">
        <f t="shared" si="344"/>
        <v>0</v>
      </c>
      <c r="AE351" s="379">
        <f t="shared" si="345"/>
        <v>0</v>
      </c>
      <c r="AF351" s="379">
        <f t="shared" si="346"/>
        <v>0</v>
      </c>
      <c r="AG351" s="379">
        <f t="shared" si="347"/>
        <v>0</v>
      </c>
      <c r="AH351" s="379">
        <f t="shared" si="348"/>
        <v>0</v>
      </c>
      <c r="AI351" s="379">
        <f t="shared" si="349"/>
        <v>0</v>
      </c>
      <c r="AJ351" s="379">
        <f t="shared" si="350"/>
        <v>0</v>
      </c>
      <c r="AK351" s="379">
        <f t="shared" si="351"/>
        <v>0</v>
      </c>
      <c r="AL351" s="379">
        <f t="shared" si="352"/>
        <v>0</v>
      </c>
      <c r="AM351" s="379">
        <f t="shared" si="353"/>
        <v>0</v>
      </c>
      <c r="AN351" s="490">
        <f t="shared" si="354"/>
        <v>0</v>
      </c>
      <c r="AO351" s="379">
        <f t="shared" si="355"/>
        <v>0</v>
      </c>
      <c r="AP351" s="379">
        <f t="shared" si="356"/>
        <v>0</v>
      </c>
      <c r="AQ351" s="379">
        <f t="shared" si="357"/>
        <v>0</v>
      </c>
      <c r="AR351" s="379">
        <f t="shared" si="358"/>
        <v>0</v>
      </c>
      <c r="AS351" s="379">
        <f t="shared" si="359"/>
        <v>0</v>
      </c>
      <c r="AT351" s="379">
        <f t="shared" si="360"/>
        <v>0</v>
      </c>
      <c r="AU351" s="379">
        <f t="shared" si="361"/>
        <v>0</v>
      </c>
      <c r="AV351" s="379">
        <f t="shared" si="362"/>
        <v>0</v>
      </c>
      <c r="AW351" s="379">
        <f t="shared" si="363"/>
        <v>0</v>
      </c>
      <c r="AX351" s="379">
        <f t="shared" si="364"/>
        <v>0</v>
      </c>
      <c r="AY351" s="379">
        <f t="shared" si="365"/>
        <v>0</v>
      </c>
    </row>
    <row r="352" spans="1:51" x14ac:dyDescent="0.2">
      <c r="A352" s="376">
        <v>14300</v>
      </c>
      <c r="B352" s="378" t="str">
        <f t="shared" si="318"/>
        <v>Junee (A)</v>
      </c>
      <c r="C352" s="377" t="str">
        <f t="shared" si="319"/>
        <v>REROC</v>
      </c>
      <c r="D352" s="503" t="str">
        <f t="shared" si="320"/>
        <v>N</v>
      </c>
      <c r="E352" s="503"/>
      <c r="F352"/>
      <c r="G352" s="379">
        <f t="shared" si="321"/>
        <v>6329</v>
      </c>
      <c r="H352" s="379">
        <f t="shared" si="322"/>
        <v>1914</v>
      </c>
      <c r="I352" s="379">
        <f t="shared" si="323"/>
        <v>277</v>
      </c>
      <c r="J352" s="379" t="str">
        <f t="shared" si="324"/>
        <v>Y</v>
      </c>
      <c r="K352" s="379">
        <f t="shared" si="325"/>
        <v>1740</v>
      </c>
      <c r="L352" s="379">
        <f t="shared" si="326"/>
        <v>0</v>
      </c>
      <c r="M352" s="379">
        <f t="shared" si="327"/>
        <v>1740</v>
      </c>
      <c r="N352" s="379">
        <f t="shared" si="328"/>
        <v>0</v>
      </c>
      <c r="O352" s="379">
        <f t="shared" si="329"/>
        <v>1740</v>
      </c>
      <c r="P352" s="379">
        <f t="shared" si="330"/>
        <v>0</v>
      </c>
      <c r="Q352" s="379" t="str">
        <f t="shared" si="331"/>
        <v>Y</v>
      </c>
      <c r="R352" s="379" t="str">
        <f t="shared" si="332"/>
        <v>Junee Landfill</v>
      </c>
      <c r="S352" s="379" t="str">
        <f t="shared" si="333"/>
        <v>Rural Transfer Stations</v>
      </c>
      <c r="T352" s="379">
        <f t="shared" si="334"/>
        <v>0</v>
      </c>
      <c r="U352" s="379">
        <f t="shared" si="335"/>
        <v>0</v>
      </c>
      <c r="V352" s="379">
        <f t="shared" si="336"/>
        <v>0</v>
      </c>
      <c r="W352" s="379">
        <f t="shared" si="337"/>
        <v>0</v>
      </c>
      <c r="X352" s="379">
        <f t="shared" si="338"/>
        <v>0</v>
      </c>
      <c r="Y352" s="379">
        <f t="shared" si="339"/>
        <v>0</v>
      </c>
      <c r="Z352" s="379">
        <f t="shared" si="340"/>
        <v>0</v>
      </c>
      <c r="AA352" s="379">
        <f t="shared" si="341"/>
        <v>0</v>
      </c>
      <c r="AB352" s="379">
        <f t="shared" si="342"/>
        <v>0</v>
      </c>
      <c r="AC352" s="379">
        <f t="shared" si="343"/>
        <v>0</v>
      </c>
      <c r="AD352" s="379">
        <f t="shared" si="344"/>
        <v>0</v>
      </c>
      <c r="AE352" s="379">
        <f t="shared" si="345"/>
        <v>0</v>
      </c>
      <c r="AF352" s="379">
        <f t="shared" si="346"/>
        <v>0</v>
      </c>
      <c r="AG352" s="379">
        <f t="shared" si="347"/>
        <v>0</v>
      </c>
      <c r="AH352" s="379">
        <f t="shared" si="348"/>
        <v>0</v>
      </c>
      <c r="AI352" s="379">
        <f t="shared" si="349"/>
        <v>0</v>
      </c>
      <c r="AJ352" s="379">
        <f t="shared" si="350"/>
        <v>0</v>
      </c>
      <c r="AK352" s="379">
        <f t="shared" si="351"/>
        <v>0</v>
      </c>
      <c r="AL352" s="379">
        <f t="shared" si="352"/>
        <v>0</v>
      </c>
      <c r="AM352" s="379">
        <f t="shared" si="353"/>
        <v>0</v>
      </c>
      <c r="AN352" s="490">
        <f t="shared" si="354"/>
        <v>0</v>
      </c>
      <c r="AO352" s="379">
        <f t="shared" si="355"/>
        <v>0</v>
      </c>
      <c r="AP352" s="379">
        <f t="shared" si="356"/>
        <v>0</v>
      </c>
      <c r="AQ352" s="379">
        <f t="shared" si="357"/>
        <v>0</v>
      </c>
      <c r="AR352" s="379">
        <f t="shared" si="358"/>
        <v>0</v>
      </c>
      <c r="AS352" s="379">
        <f t="shared" si="359"/>
        <v>0</v>
      </c>
      <c r="AT352" s="379">
        <f t="shared" si="360"/>
        <v>0</v>
      </c>
      <c r="AU352" s="379">
        <f t="shared" si="361"/>
        <v>0</v>
      </c>
      <c r="AV352" s="379">
        <f t="shared" si="362"/>
        <v>0</v>
      </c>
      <c r="AW352" s="379">
        <f t="shared" si="363"/>
        <v>0</v>
      </c>
      <c r="AX352" s="379">
        <f t="shared" si="364"/>
        <v>0</v>
      </c>
      <c r="AY352" s="379">
        <f t="shared" si="365"/>
        <v>0</v>
      </c>
    </row>
    <row r="353" spans="1:51" x14ac:dyDescent="0.2">
      <c r="A353" s="376">
        <v>14350</v>
      </c>
      <c r="B353" s="378" t="str">
        <f t="shared" si="318"/>
        <v>Kempsey (A)</v>
      </c>
      <c r="C353" s="377" t="str">
        <f t="shared" si="319"/>
        <v>MidWaste</v>
      </c>
      <c r="D353" s="503" t="str">
        <f t="shared" si="320"/>
        <v>R</v>
      </c>
      <c r="E353" s="503"/>
      <c r="F353"/>
      <c r="G353" s="379">
        <f t="shared" si="321"/>
        <v>29842</v>
      </c>
      <c r="H353" s="379">
        <f t="shared" si="322"/>
        <v>12979</v>
      </c>
      <c r="I353" s="379">
        <f t="shared" si="323"/>
        <v>422</v>
      </c>
      <c r="J353" s="379" t="str">
        <f t="shared" si="324"/>
        <v>Y</v>
      </c>
      <c r="K353" s="379">
        <f t="shared" si="325"/>
        <v>11871</v>
      </c>
      <c r="L353" s="379">
        <f t="shared" si="326"/>
        <v>0</v>
      </c>
      <c r="M353" s="379">
        <f t="shared" si="327"/>
        <v>11851</v>
      </c>
      <c r="N353" s="379">
        <f t="shared" si="328"/>
        <v>0</v>
      </c>
      <c r="O353" s="379">
        <f t="shared" si="329"/>
        <v>7744</v>
      </c>
      <c r="P353" s="379">
        <f t="shared" si="330"/>
        <v>0</v>
      </c>
      <c r="Q353" s="379" t="str">
        <f t="shared" si="331"/>
        <v>Y</v>
      </c>
      <c r="R353" s="379" t="str">
        <f t="shared" si="332"/>
        <v>Kempsey Waste Management Centre</v>
      </c>
      <c r="S353" s="379" t="str">
        <f t="shared" si="333"/>
        <v>South West Rocks Transfer Station</v>
      </c>
      <c r="T353" s="379" t="str">
        <f t="shared" si="334"/>
        <v>Stuarts Point Transfer Station</v>
      </c>
      <c r="U353" s="379" t="str">
        <f t="shared" si="335"/>
        <v>Bellbrook Transfer Station</v>
      </c>
      <c r="V353" s="379">
        <f t="shared" si="336"/>
        <v>0</v>
      </c>
      <c r="W353" s="379">
        <f t="shared" si="337"/>
        <v>0</v>
      </c>
      <c r="X353" s="379">
        <f t="shared" si="338"/>
        <v>0</v>
      </c>
      <c r="Y353" s="379">
        <f t="shared" si="339"/>
        <v>0</v>
      </c>
      <c r="Z353" s="379">
        <f t="shared" si="340"/>
        <v>0</v>
      </c>
      <c r="AA353" s="379">
        <f t="shared" si="341"/>
        <v>0</v>
      </c>
      <c r="AB353" s="379">
        <f t="shared" si="342"/>
        <v>0</v>
      </c>
      <c r="AC353" s="379">
        <f t="shared" si="343"/>
        <v>0</v>
      </c>
      <c r="AD353" s="379">
        <f t="shared" si="344"/>
        <v>0</v>
      </c>
      <c r="AE353" s="379">
        <f t="shared" si="345"/>
        <v>0</v>
      </c>
      <c r="AF353" s="379">
        <f t="shared" si="346"/>
        <v>0</v>
      </c>
      <c r="AG353" s="379">
        <f t="shared" si="347"/>
        <v>0</v>
      </c>
      <c r="AH353" s="379">
        <f t="shared" si="348"/>
        <v>0</v>
      </c>
      <c r="AI353" s="379">
        <f t="shared" si="349"/>
        <v>0</v>
      </c>
      <c r="AJ353" s="379">
        <f t="shared" si="350"/>
        <v>0</v>
      </c>
      <c r="AK353" s="379">
        <f t="shared" si="351"/>
        <v>0</v>
      </c>
      <c r="AL353" s="379">
        <f t="shared" si="352"/>
        <v>0</v>
      </c>
      <c r="AM353" s="379">
        <f t="shared" si="353"/>
        <v>0</v>
      </c>
      <c r="AN353" s="490">
        <f t="shared" si="354"/>
        <v>0</v>
      </c>
      <c r="AO353" s="379">
        <f t="shared" si="355"/>
        <v>0</v>
      </c>
      <c r="AP353" s="379">
        <f t="shared" si="356"/>
        <v>0</v>
      </c>
      <c r="AQ353" s="379">
        <f t="shared" si="357"/>
        <v>0</v>
      </c>
      <c r="AR353" s="379">
        <f t="shared" si="358"/>
        <v>0</v>
      </c>
      <c r="AS353" s="379">
        <f t="shared" si="359"/>
        <v>0</v>
      </c>
      <c r="AT353" s="379">
        <f t="shared" si="360"/>
        <v>0</v>
      </c>
      <c r="AU353" s="379">
        <f t="shared" si="361"/>
        <v>0</v>
      </c>
      <c r="AV353" s="379">
        <f t="shared" si="362"/>
        <v>0</v>
      </c>
      <c r="AW353" s="379">
        <f t="shared" si="363"/>
        <v>0</v>
      </c>
      <c r="AX353" s="379">
        <f t="shared" si="364"/>
        <v>0</v>
      </c>
      <c r="AY353" s="379">
        <f t="shared" si="365"/>
        <v>0</v>
      </c>
    </row>
    <row r="354" spans="1:51" x14ac:dyDescent="0.2">
      <c r="A354" s="376">
        <v>14550</v>
      </c>
      <c r="B354" s="378" t="str">
        <f t="shared" si="318"/>
        <v>Kyogle (A)</v>
      </c>
      <c r="C354" s="377" t="str">
        <f t="shared" si="319"/>
        <v>NEWF</v>
      </c>
      <c r="D354" s="503" t="str">
        <f t="shared" si="320"/>
        <v>R</v>
      </c>
      <c r="E354" s="503"/>
      <c r="F354"/>
      <c r="G354" s="379">
        <f t="shared" si="321"/>
        <v>9542</v>
      </c>
      <c r="H354" s="379">
        <f t="shared" si="322"/>
        <v>4022</v>
      </c>
      <c r="I354" s="379">
        <f t="shared" si="323"/>
        <v>450</v>
      </c>
      <c r="J354" s="379" t="str">
        <f t="shared" si="324"/>
        <v>Y</v>
      </c>
      <c r="K354" s="379">
        <f t="shared" si="325"/>
        <v>2016</v>
      </c>
      <c r="L354" s="379">
        <f t="shared" si="326"/>
        <v>0</v>
      </c>
      <c r="M354" s="379">
        <f t="shared" si="327"/>
        <v>2016</v>
      </c>
      <c r="N354" s="379">
        <f t="shared" si="328"/>
        <v>0</v>
      </c>
      <c r="O354" s="379">
        <f t="shared" si="329"/>
        <v>0</v>
      </c>
      <c r="P354" s="379">
        <f t="shared" si="330"/>
        <v>0</v>
      </c>
      <c r="Q354" s="379" t="str">
        <f t="shared" si="331"/>
        <v>Y</v>
      </c>
      <c r="R354" s="379" t="str">
        <f t="shared" si="332"/>
        <v>Kyogle Landfill</v>
      </c>
      <c r="S354" s="379" t="str">
        <f t="shared" si="333"/>
        <v>Woodenbong Landfill</v>
      </c>
      <c r="T354" s="379">
        <f t="shared" si="334"/>
        <v>0</v>
      </c>
      <c r="U354" s="379">
        <f t="shared" si="335"/>
        <v>0</v>
      </c>
      <c r="V354" s="379">
        <f t="shared" si="336"/>
        <v>0</v>
      </c>
      <c r="W354" s="379">
        <f t="shared" si="337"/>
        <v>0</v>
      </c>
      <c r="X354" s="379">
        <f t="shared" si="338"/>
        <v>0</v>
      </c>
      <c r="Y354" s="379">
        <f t="shared" si="339"/>
        <v>0</v>
      </c>
      <c r="Z354" s="379">
        <f t="shared" si="340"/>
        <v>0</v>
      </c>
      <c r="AA354" s="379">
        <f t="shared" si="341"/>
        <v>0</v>
      </c>
      <c r="AB354" s="379">
        <f t="shared" si="342"/>
        <v>0</v>
      </c>
      <c r="AC354" s="379">
        <f t="shared" si="343"/>
        <v>0</v>
      </c>
      <c r="AD354" s="379">
        <f t="shared" si="344"/>
        <v>0</v>
      </c>
      <c r="AE354" s="379">
        <f t="shared" si="345"/>
        <v>0</v>
      </c>
      <c r="AF354" s="379">
        <f t="shared" si="346"/>
        <v>0</v>
      </c>
      <c r="AG354" s="379">
        <f t="shared" si="347"/>
        <v>0</v>
      </c>
      <c r="AH354" s="379">
        <f t="shared" si="348"/>
        <v>0</v>
      </c>
      <c r="AI354" s="379">
        <f t="shared" si="349"/>
        <v>0</v>
      </c>
      <c r="AJ354" s="379">
        <f t="shared" si="350"/>
        <v>0</v>
      </c>
      <c r="AK354" s="379">
        <f t="shared" si="351"/>
        <v>0</v>
      </c>
      <c r="AL354" s="379">
        <f t="shared" si="352"/>
        <v>0</v>
      </c>
      <c r="AM354" s="379">
        <f t="shared" si="353"/>
        <v>0</v>
      </c>
      <c r="AN354" s="490">
        <f t="shared" si="354"/>
        <v>0</v>
      </c>
      <c r="AO354" s="379">
        <f t="shared" si="355"/>
        <v>0</v>
      </c>
      <c r="AP354" s="379">
        <f t="shared" si="356"/>
        <v>0</v>
      </c>
      <c r="AQ354" s="379">
        <f t="shared" si="357"/>
        <v>0</v>
      </c>
      <c r="AR354" s="379">
        <f t="shared" si="358"/>
        <v>0</v>
      </c>
      <c r="AS354" s="379">
        <f t="shared" si="359"/>
        <v>0</v>
      </c>
      <c r="AT354" s="379">
        <f t="shared" si="360"/>
        <v>0</v>
      </c>
      <c r="AU354" s="379">
        <f t="shared" si="361"/>
        <v>0</v>
      </c>
      <c r="AV354" s="379">
        <f t="shared" si="362"/>
        <v>0</v>
      </c>
      <c r="AW354" s="379">
        <f t="shared" si="363"/>
        <v>0</v>
      </c>
      <c r="AX354" s="379">
        <f t="shared" si="364"/>
        <v>0</v>
      </c>
      <c r="AY354" s="379">
        <f t="shared" si="365"/>
        <v>0</v>
      </c>
    </row>
    <row r="355" spans="1:51" x14ac:dyDescent="0.2">
      <c r="A355" s="376">
        <v>14600</v>
      </c>
      <c r="B355" s="378" t="str">
        <f t="shared" si="318"/>
        <v>Lachlan (A)</v>
      </c>
      <c r="C355" s="377" t="str">
        <f t="shared" si="319"/>
        <v>NetWaste</v>
      </c>
      <c r="D355" s="503" t="str">
        <f t="shared" si="320"/>
        <v>N</v>
      </c>
      <c r="E355" s="503"/>
      <c r="F355"/>
      <c r="G355" s="379">
        <f t="shared" si="321"/>
        <v>6749</v>
      </c>
      <c r="H355" s="379">
        <f t="shared" si="322"/>
        <v>4164</v>
      </c>
      <c r="I355" s="379">
        <f t="shared" si="323"/>
        <v>326</v>
      </c>
      <c r="J355" s="379" t="str">
        <f t="shared" si="324"/>
        <v>Y</v>
      </c>
      <c r="K355" s="379">
        <f t="shared" si="325"/>
        <v>2647</v>
      </c>
      <c r="L355" s="379">
        <f t="shared" si="326"/>
        <v>0</v>
      </c>
      <c r="M355" s="379">
        <f t="shared" si="327"/>
        <v>2619</v>
      </c>
      <c r="N355" s="379">
        <f t="shared" si="328"/>
        <v>1272</v>
      </c>
      <c r="O355" s="379">
        <f t="shared" si="329"/>
        <v>0</v>
      </c>
      <c r="P355" s="379">
        <f t="shared" si="330"/>
        <v>0</v>
      </c>
      <c r="Q355" s="379" t="str">
        <f t="shared" si="331"/>
        <v>Y</v>
      </c>
      <c r="R355" s="379" t="str">
        <f t="shared" si="332"/>
        <v xml:space="preserve">Condobolin </v>
      </c>
      <c r="S355" s="379" t="str">
        <f t="shared" si="333"/>
        <v xml:space="preserve">Lake Cargelligo </v>
      </c>
      <c r="T355" s="379" t="str">
        <f t="shared" si="334"/>
        <v xml:space="preserve">Burcher </v>
      </c>
      <c r="U355" s="379" t="str">
        <f t="shared" si="335"/>
        <v>Tuliibigeal</v>
      </c>
      <c r="V355" s="379" t="str">
        <f t="shared" si="336"/>
        <v xml:space="preserve">Tottenham </v>
      </c>
      <c r="W355" s="379">
        <f t="shared" si="337"/>
        <v>0</v>
      </c>
      <c r="X355" s="379">
        <f t="shared" si="338"/>
        <v>0</v>
      </c>
      <c r="Y355" s="379">
        <f t="shared" si="339"/>
        <v>0</v>
      </c>
      <c r="Z355" s="379">
        <f t="shared" si="340"/>
        <v>0</v>
      </c>
      <c r="AA355" s="379">
        <f t="shared" si="341"/>
        <v>0</v>
      </c>
      <c r="AB355" s="379">
        <f t="shared" si="342"/>
        <v>0</v>
      </c>
      <c r="AC355" s="379">
        <f t="shared" si="343"/>
        <v>0</v>
      </c>
      <c r="AD355" s="379">
        <f t="shared" si="344"/>
        <v>0</v>
      </c>
      <c r="AE355" s="379">
        <f t="shared" si="345"/>
        <v>0</v>
      </c>
      <c r="AF355" s="379">
        <f t="shared" si="346"/>
        <v>0</v>
      </c>
      <c r="AG355" s="379">
        <f t="shared" si="347"/>
        <v>0</v>
      </c>
      <c r="AH355" s="379">
        <f t="shared" si="348"/>
        <v>0</v>
      </c>
      <c r="AI355" s="379">
        <f t="shared" si="349"/>
        <v>0</v>
      </c>
      <c r="AJ355" s="379">
        <f t="shared" si="350"/>
        <v>0</v>
      </c>
      <c r="AK355" s="379">
        <f t="shared" si="351"/>
        <v>0</v>
      </c>
      <c r="AL355" s="379">
        <f t="shared" si="352"/>
        <v>0</v>
      </c>
      <c r="AM355" s="379">
        <f t="shared" si="353"/>
        <v>0</v>
      </c>
      <c r="AN355" s="490">
        <f t="shared" si="354"/>
        <v>0</v>
      </c>
      <c r="AO355" s="379">
        <f t="shared" si="355"/>
        <v>0</v>
      </c>
      <c r="AP355" s="379">
        <f t="shared" si="356"/>
        <v>0</v>
      </c>
      <c r="AQ355" s="379">
        <f t="shared" si="357"/>
        <v>0</v>
      </c>
      <c r="AR355" s="379">
        <f t="shared" si="358"/>
        <v>0</v>
      </c>
      <c r="AS355" s="379">
        <f t="shared" si="359"/>
        <v>0</v>
      </c>
      <c r="AT355" s="379">
        <f t="shared" si="360"/>
        <v>0</v>
      </c>
      <c r="AU355" s="379">
        <f t="shared" si="361"/>
        <v>0</v>
      </c>
      <c r="AV355" s="379">
        <f t="shared" si="362"/>
        <v>0</v>
      </c>
      <c r="AW355" s="379">
        <f t="shared" si="363"/>
        <v>0</v>
      </c>
      <c r="AX355" s="379">
        <f t="shared" si="364"/>
        <v>0</v>
      </c>
      <c r="AY355" s="379">
        <f t="shared" si="365"/>
        <v>0</v>
      </c>
    </row>
    <row r="356" spans="1:51" x14ac:dyDescent="0.2">
      <c r="A356" s="376">
        <v>14750</v>
      </c>
      <c r="B356" s="378" t="str">
        <f t="shared" si="318"/>
        <v>Leeton (A)</v>
      </c>
      <c r="C356" s="377" t="str">
        <f t="shared" si="319"/>
        <v>RAMROC Riverina</v>
      </c>
      <c r="D356" s="503" t="str">
        <f t="shared" si="320"/>
        <v>N</v>
      </c>
      <c r="E356" s="503"/>
      <c r="F356"/>
      <c r="G356" s="379">
        <f t="shared" si="321"/>
        <v>11712</v>
      </c>
      <c r="H356" s="379">
        <f t="shared" si="322"/>
        <v>3811</v>
      </c>
      <c r="I356" s="379">
        <f t="shared" si="323"/>
        <v>249</v>
      </c>
      <c r="J356" s="379" t="str">
        <f t="shared" si="324"/>
        <v>Y</v>
      </c>
      <c r="K356" s="379">
        <f t="shared" si="325"/>
        <v>4136</v>
      </c>
      <c r="L356" s="379">
        <f t="shared" si="326"/>
        <v>0</v>
      </c>
      <c r="M356" s="379">
        <f t="shared" si="327"/>
        <v>4039</v>
      </c>
      <c r="N356" s="379">
        <f t="shared" si="328"/>
        <v>0</v>
      </c>
      <c r="O356" s="379">
        <f t="shared" si="329"/>
        <v>0</v>
      </c>
      <c r="P356" s="379" t="str">
        <f t="shared" si="330"/>
        <v>Y</v>
      </c>
      <c r="Q356" s="379" t="str">
        <f t="shared" si="331"/>
        <v>Y</v>
      </c>
      <c r="R356" s="379" t="str">
        <f t="shared" si="332"/>
        <v>Leeton Resource Recovery Centre</v>
      </c>
      <c r="S356" s="379">
        <f t="shared" si="333"/>
        <v>0</v>
      </c>
      <c r="T356" s="379">
        <f t="shared" si="334"/>
        <v>0</v>
      </c>
      <c r="U356" s="379">
        <f t="shared" si="335"/>
        <v>0</v>
      </c>
      <c r="V356" s="379">
        <f t="shared" si="336"/>
        <v>0</v>
      </c>
      <c r="W356" s="379">
        <f t="shared" si="337"/>
        <v>0</v>
      </c>
      <c r="X356" s="379">
        <f t="shared" si="338"/>
        <v>0</v>
      </c>
      <c r="Y356" s="379">
        <f t="shared" si="339"/>
        <v>0</v>
      </c>
      <c r="Z356" s="379">
        <f t="shared" si="340"/>
        <v>0</v>
      </c>
      <c r="AA356" s="379">
        <f t="shared" si="341"/>
        <v>0</v>
      </c>
      <c r="AB356" s="379">
        <f t="shared" si="342"/>
        <v>0</v>
      </c>
      <c r="AC356" s="379">
        <f t="shared" si="343"/>
        <v>0</v>
      </c>
      <c r="AD356" s="379">
        <f t="shared" si="344"/>
        <v>0</v>
      </c>
      <c r="AE356" s="379">
        <f t="shared" si="345"/>
        <v>0</v>
      </c>
      <c r="AF356" s="379">
        <f t="shared" si="346"/>
        <v>0</v>
      </c>
      <c r="AG356" s="379">
        <f t="shared" si="347"/>
        <v>0</v>
      </c>
      <c r="AH356" s="379">
        <f t="shared" si="348"/>
        <v>0</v>
      </c>
      <c r="AI356" s="379">
        <f t="shared" si="349"/>
        <v>0</v>
      </c>
      <c r="AJ356" s="379">
        <f t="shared" si="350"/>
        <v>0</v>
      </c>
      <c r="AK356" s="379">
        <f t="shared" si="351"/>
        <v>0</v>
      </c>
      <c r="AL356" s="379">
        <f t="shared" si="352"/>
        <v>0</v>
      </c>
      <c r="AM356" s="379">
        <f t="shared" si="353"/>
        <v>0</v>
      </c>
      <c r="AN356" s="490">
        <f t="shared" si="354"/>
        <v>0</v>
      </c>
      <c r="AO356" s="379">
        <f t="shared" si="355"/>
        <v>0</v>
      </c>
      <c r="AP356" s="379">
        <f t="shared" si="356"/>
        <v>0</v>
      </c>
      <c r="AQ356" s="379">
        <f t="shared" si="357"/>
        <v>0</v>
      </c>
      <c r="AR356" s="379">
        <f t="shared" si="358"/>
        <v>0</v>
      </c>
      <c r="AS356" s="379">
        <f t="shared" si="359"/>
        <v>0</v>
      </c>
      <c r="AT356" s="379">
        <f t="shared" si="360"/>
        <v>0</v>
      </c>
      <c r="AU356" s="379">
        <f t="shared" si="361"/>
        <v>0</v>
      </c>
      <c r="AV356" s="379">
        <f t="shared" si="362"/>
        <v>0</v>
      </c>
      <c r="AW356" s="379">
        <f t="shared" si="363"/>
        <v>0</v>
      </c>
      <c r="AX356" s="379">
        <f t="shared" si="364"/>
        <v>0</v>
      </c>
      <c r="AY356" s="379">
        <f t="shared" si="365"/>
        <v>0</v>
      </c>
    </row>
    <row r="357" spans="1:51" x14ac:dyDescent="0.2">
      <c r="A357" s="376">
        <v>14850</v>
      </c>
      <c r="B357" s="378" t="str">
        <f t="shared" si="318"/>
        <v>Lismore (C)</v>
      </c>
      <c r="C357" s="377" t="str">
        <f t="shared" si="319"/>
        <v>NEWF</v>
      </c>
      <c r="D357" s="503" t="str">
        <f t="shared" si="320"/>
        <v>R</v>
      </c>
      <c r="E357" s="503"/>
      <c r="F357"/>
      <c r="G357" s="379">
        <f t="shared" si="321"/>
        <v>44993</v>
      </c>
      <c r="H357" s="379">
        <f t="shared" si="322"/>
        <v>16194</v>
      </c>
      <c r="I357" s="379">
        <f t="shared" si="323"/>
        <v>290</v>
      </c>
      <c r="J357" s="379" t="str">
        <f t="shared" si="324"/>
        <v>Y</v>
      </c>
      <c r="K357" s="379">
        <f t="shared" si="325"/>
        <v>14777</v>
      </c>
      <c r="L357" s="379">
        <f t="shared" si="326"/>
        <v>0</v>
      </c>
      <c r="M357" s="379">
        <f t="shared" si="327"/>
        <v>14777</v>
      </c>
      <c r="N357" s="379">
        <f t="shared" si="328"/>
        <v>0</v>
      </c>
      <c r="O357" s="379">
        <f t="shared" si="329"/>
        <v>12683</v>
      </c>
      <c r="P357" s="379">
        <f t="shared" si="330"/>
        <v>0</v>
      </c>
      <c r="Q357" s="379" t="str">
        <f t="shared" si="331"/>
        <v>Y</v>
      </c>
      <c r="R357" s="379" t="str">
        <f t="shared" si="332"/>
        <v>Nimbin Transfer Station</v>
      </c>
      <c r="S357" s="379" t="str">
        <f t="shared" si="333"/>
        <v>Brewster Street Drop Off Centre</v>
      </c>
      <c r="T357" s="379" t="str">
        <f t="shared" si="334"/>
        <v>Lismore Recycling and Recovery Centre</v>
      </c>
      <c r="U357" s="379">
        <f t="shared" si="335"/>
        <v>0</v>
      </c>
      <c r="V357" s="379">
        <f t="shared" si="336"/>
        <v>0</v>
      </c>
      <c r="W357" s="379">
        <f t="shared" si="337"/>
        <v>0</v>
      </c>
      <c r="X357" s="379">
        <f t="shared" si="338"/>
        <v>0</v>
      </c>
      <c r="Y357" s="379">
        <f t="shared" si="339"/>
        <v>0</v>
      </c>
      <c r="Z357" s="379">
        <f t="shared" si="340"/>
        <v>0</v>
      </c>
      <c r="AA357" s="379">
        <f t="shared" si="341"/>
        <v>0</v>
      </c>
      <c r="AB357" s="379">
        <f t="shared" si="342"/>
        <v>0</v>
      </c>
      <c r="AC357" s="379">
        <f t="shared" si="343"/>
        <v>0</v>
      </c>
      <c r="AD357" s="379">
        <f t="shared" si="344"/>
        <v>0</v>
      </c>
      <c r="AE357" s="379">
        <f t="shared" si="345"/>
        <v>0</v>
      </c>
      <c r="AF357" s="379">
        <f t="shared" si="346"/>
        <v>0</v>
      </c>
      <c r="AG357" s="379">
        <f t="shared" si="347"/>
        <v>0</v>
      </c>
      <c r="AH357" s="379">
        <f t="shared" si="348"/>
        <v>0</v>
      </c>
      <c r="AI357" s="379">
        <f t="shared" si="349"/>
        <v>0</v>
      </c>
      <c r="AJ357" s="379">
        <f t="shared" si="350"/>
        <v>0</v>
      </c>
      <c r="AK357" s="379">
        <f t="shared" si="351"/>
        <v>0</v>
      </c>
      <c r="AL357" s="379">
        <f t="shared" si="352"/>
        <v>0</v>
      </c>
      <c r="AM357" s="379">
        <f t="shared" si="353"/>
        <v>0</v>
      </c>
      <c r="AN357" s="490">
        <f t="shared" si="354"/>
        <v>0</v>
      </c>
      <c r="AO357" s="379">
        <f t="shared" si="355"/>
        <v>0</v>
      </c>
      <c r="AP357" s="379">
        <f t="shared" si="356"/>
        <v>0</v>
      </c>
      <c r="AQ357" s="379">
        <f t="shared" si="357"/>
        <v>0</v>
      </c>
      <c r="AR357" s="379">
        <f t="shared" si="358"/>
        <v>0</v>
      </c>
      <c r="AS357" s="379">
        <f t="shared" si="359"/>
        <v>0</v>
      </c>
      <c r="AT357" s="379">
        <f t="shared" si="360"/>
        <v>0</v>
      </c>
      <c r="AU357" s="379">
        <f t="shared" si="361"/>
        <v>0</v>
      </c>
      <c r="AV357" s="379">
        <f t="shared" si="362"/>
        <v>0</v>
      </c>
      <c r="AW357" s="379">
        <f t="shared" si="363"/>
        <v>0</v>
      </c>
      <c r="AX357" s="379">
        <f t="shared" si="364"/>
        <v>0</v>
      </c>
      <c r="AY357" s="379">
        <f t="shared" si="365"/>
        <v>0</v>
      </c>
    </row>
    <row r="358" spans="1:51" x14ac:dyDescent="0.2">
      <c r="A358" s="376">
        <v>14870</v>
      </c>
      <c r="B358" s="378" t="str">
        <f t="shared" si="318"/>
        <v>Lithgow (C)</v>
      </c>
      <c r="C358" s="377" t="str">
        <f t="shared" si="319"/>
        <v>NetWaste</v>
      </c>
      <c r="D358" s="503" t="str">
        <f t="shared" si="320"/>
        <v>N</v>
      </c>
      <c r="E358" s="503"/>
      <c r="F358"/>
      <c r="G358" s="379">
        <f t="shared" si="321"/>
        <v>21474</v>
      </c>
      <c r="H358" s="379">
        <f t="shared" si="322"/>
        <v>11338</v>
      </c>
      <c r="I358" s="379">
        <f t="shared" si="323"/>
        <v>383.73</v>
      </c>
      <c r="J358" s="379" t="str">
        <f t="shared" si="324"/>
        <v>Y</v>
      </c>
      <c r="K358" s="379">
        <f t="shared" si="325"/>
        <v>9155</v>
      </c>
      <c r="L358" s="379">
        <f t="shared" si="326"/>
        <v>0</v>
      </c>
      <c r="M358" s="379">
        <f t="shared" si="327"/>
        <v>9150</v>
      </c>
      <c r="N358" s="379">
        <f t="shared" si="328"/>
        <v>0</v>
      </c>
      <c r="O358" s="379">
        <f t="shared" si="329"/>
        <v>0</v>
      </c>
      <c r="P358" s="379" t="str">
        <f t="shared" si="330"/>
        <v>Y</v>
      </c>
      <c r="Q358" s="379" t="str">
        <f t="shared" si="331"/>
        <v>Y</v>
      </c>
      <c r="R358" s="379" t="str">
        <f t="shared" si="332"/>
        <v>Lithgow SWF</v>
      </c>
      <c r="S358" s="379" t="str">
        <f t="shared" si="333"/>
        <v>Portland Garbage Depot</v>
      </c>
      <c r="T358" s="379" t="str">
        <f t="shared" si="334"/>
        <v>Wallerawang Garbage Depot</v>
      </c>
      <c r="U358" s="379" t="str">
        <f t="shared" si="335"/>
        <v>Cullen Bullen Garbage Depot</v>
      </c>
      <c r="V358" s="379" t="str">
        <f t="shared" si="336"/>
        <v>Capertee Garbage Depot</v>
      </c>
      <c r="W358" s="379" t="str">
        <f t="shared" si="337"/>
        <v>Glen Davis Garbage Depot</v>
      </c>
      <c r="X358" s="379">
        <f t="shared" si="338"/>
        <v>0</v>
      </c>
      <c r="Y358" s="379">
        <f t="shared" si="339"/>
        <v>0</v>
      </c>
      <c r="Z358" s="379">
        <f t="shared" si="340"/>
        <v>0</v>
      </c>
      <c r="AA358" s="379">
        <f t="shared" si="341"/>
        <v>0</v>
      </c>
      <c r="AB358" s="379">
        <f t="shared" si="342"/>
        <v>0</v>
      </c>
      <c r="AC358" s="379">
        <f t="shared" si="343"/>
        <v>0</v>
      </c>
      <c r="AD358" s="379">
        <f t="shared" si="344"/>
        <v>0</v>
      </c>
      <c r="AE358" s="379">
        <f t="shared" si="345"/>
        <v>0</v>
      </c>
      <c r="AF358" s="379">
        <f t="shared" si="346"/>
        <v>0</v>
      </c>
      <c r="AG358" s="379">
        <f t="shared" si="347"/>
        <v>0</v>
      </c>
      <c r="AH358" s="379">
        <f t="shared" si="348"/>
        <v>0</v>
      </c>
      <c r="AI358" s="379">
        <f t="shared" si="349"/>
        <v>0</v>
      </c>
      <c r="AJ358" s="379">
        <f t="shared" si="350"/>
        <v>0</v>
      </c>
      <c r="AK358" s="379">
        <f t="shared" si="351"/>
        <v>0</v>
      </c>
      <c r="AL358" s="379">
        <f t="shared" si="352"/>
        <v>0</v>
      </c>
      <c r="AM358" s="379">
        <f t="shared" si="353"/>
        <v>0</v>
      </c>
      <c r="AN358" s="490">
        <f t="shared" si="354"/>
        <v>0</v>
      </c>
      <c r="AO358" s="379">
        <f t="shared" si="355"/>
        <v>0</v>
      </c>
      <c r="AP358" s="379">
        <f t="shared" si="356"/>
        <v>0</v>
      </c>
      <c r="AQ358" s="379">
        <f t="shared" si="357"/>
        <v>0</v>
      </c>
      <c r="AR358" s="379">
        <f t="shared" si="358"/>
        <v>0</v>
      </c>
      <c r="AS358" s="379">
        <f t="shared" si="359"/>
        <v>0</v>
      </c>
      <c r="AT358" s="379">
        <f t="shared" si="360"/>
        <v>0</v>
      </c>
      <c r="AU358" s="379">
        <f t="shared" si="361"/>
        <v>0</v>
      </c>
      <c r="AV358" s="379">
        <f t="shared" si="362"/>
        <v>0</v>
      </c>
      <c r="AW358" s="379">
        <f t="shared" si="363"/>
        <v>0</v>
      </c>
      <c r="AX358" s="379">
        <f t="shared" si="364"/>
        <v>0</v>
      </c>
      <c r="AY358" s="379">
        <f t="shared" si="365"/>
        <v>0</v>
      </c>
    </row>
    <row r="359" spans="1:51" x14ac:dyDescent="0.2">
      <c r="A359" s="376">
        <v>14920</v>
      </c>
      <c r="B359" s="378" t="str">
        <f t="shared" si="318"/>
        <v>Liverpool Plains (A)</v>
      </c>
      <c r="C359" s="377" t="str">
        <f t="shared" si="319"/>
        <v>NIRW</v>
      </c>
      <c r="D359" s="503" t="str">
        <f t="shared" si="320"/>
        <v>N</v>
      </c>
      <c r="E359" s="503"/>
      <c r="F359"/>
      <c r="G359" s="379">
        <f t="shared" si="321"/>
        <v>7738</v>
      </c>
      <c r="H359" s="379">
        <f t="shared" si="322"/>
        <v>2900</v>
      </c>
      <c r="I359" s="379">
        <f t="shared" si="323"/>
        <v>355</v>
      </c>
      <c r="J359" s="379" t="str">
        <f t="shared" si="324"/>
        <v>Y</v>
      </c>
      <c r="K359" s="379">
        <f t="shared" si="325"/>
        <v>2820</v>
      </c>
      <c r="L359" s="379">
        <f t="shared" si="326"/>
        <v>0</v>
      </c>
      <c r="M359" s="379">
        <f t="shared" si="327"/>
        <v>2776</v>
      </c>
      <c r="N359" s="379">
        <f t="shared" si="328"/>
        <v>0</v>
      </c>
      <c r="O359" s="379">
        <f t="shared" si="329"/>
        <v>0</v>
      </c>
      <c r="P359" s="379" t="str">
        <f t="shared" si="330"/>
        <v>Y</v>
      </c>
      <c r="Q359" s="379">
        <f t="shared" si="331"/>
        <v>0</v>
      </c>
      <c r="R359" s="379">
        <f t="shared" si="332"/>
        <v>0</v>
      </c>
      <c r="S359" s="379">
        <f t="shared" si="333"/>
        <v>0</v>
      </c>
      <c r="T359" s="379">
        <f t="shared" si="334"/>
        <v>0</v>
      </c>
      <c r="U359" s="379">
        <f t="shared" si="335"/>
        <v>0</v>
      </c>
      <c r="V359" s="379">
        <f t="shared" si="336"/>
        <v>0</v>
      </c>
      <c r="W359" s="379">
        <f t="shared" si="337"/>
        <v>0</v>
      </c>
      <c r="X359" s="379">
        <f t="shared" si="338"/>
        <v>0</v>
      </c>
      <c r="Y359" s="379">
        <f t="shared" si="339"/>
        <v>0</v>
      </c>
      <c r="Z359" s="379">
        <f t="shared" si="340"/>
        <v>0</v>
      </c>
      <c r="AA359" s="379">
        <f t="shared" si="341"/>
        <v>0</v>
      </c>
      <c r="AB359" s="379">
        <f t="shared" si="342"/>
        <v>0</v>
      </c>
      <c r="AC359" s="379">
        <f t="shared" si="343"/>
        <v>0</v>
      </c>
      <c r="AD359" s="379">
        <f t="shared" si="344"/>
        <v>0</v>
      </c>
      <c r="AE359" s="379">
        <f t="shared" si="345"/>
        <v>0</v>
      </c>
      <c r="AF359" s="379">
        <f t="shared" si="346"/>
        <v>0</v>
      </c>
      <c r="AG359" s="379">
        <f t="shared" si="347"/>
        <v>0</v>
      </c>
      <c r="AH359" s="379">
        <f t="shared" si="348"/>
        <v>0</v>
      </c>
      <c r="AI359" s="379">
        <f t="shared" si="349"/>
        <v>0</v>
      </c>
      <c r="AJ359" s="379">
        <f t="shared" si="350"/>
        <v>0</v>
      </c>
      <c r="AK359" s="379">
        <f t="shared" si="351"/>
        <v>0</v>
      </c>
      <c r="AL359" s="379">
        <f t="shared" si="352"/>
        <v>0</v>
      </c>
      <c r="AM359" s="379">
        <f t="shared" si="353"/>
        <v>0</v>
      </c>
      <c r="AN359" s="490">
        <f t="shared" si="354"/>
        <v>0</v>
      </c>
      <c r="AO359" s="379">
        <f t="shared" si="355"/>
        <v>0</v>
      </c>
      <c r="AP359" s="379">
        <f t="shared" si="356"/>
        <v>0</v>
      </c>
      <c r="AQ359" s="379">
        <f t="shared" si="357"/>
        <v>0</v>
      </c>
      <c r="AR359" s="379">
        <f t="shared" si="358"/>
        <v>0</v>
      </c>
      <c r="AS359" s="379">
        <f t="shared" si="359"/>
        <v>0</v>
      </c>
      <c r="AT359" s="379">
        <f t="shared" si="360"/>
        <v>0</v>
      </c>
      <c r="AU359" s="379">
        <f t="shared" si="361"/>
        <v>0</v>
      </c>
      <c r="AV359" s="379">
        <f t="shared" si="362"/>
        <v>0</v>
      </c>
      <c r="AW359" s="379">
        <f t="shared" si="363"/>
        <v>0</v>
      </c>
      <c r="AX359" s="379">
        <f t="shared" si="364"/>
        <v>0</v>
      </c>
      <c r="AY359" s="379">
        <f t="shared" si="365"/>
        <v>0</v>
      </c>
    </row>
    <row r="360" spans="1:51" x14ac:dyDescent="0.2">
      <c r="A360" s="376">
        <v>14950</v>
      </c>
      <c r="B360" s="378" t="str">
        <f t="shared" si="318"/>
        <v>Lockhart (A)</v>
      </c>
      <c r="C360" s="377" t="str">
        <f t="shared" si="319"/>
        <v>REROC</v>
      </c>
      <c r="D360" s="503" t="str">
        <f t="shared" si="320"/>
        <v>N</v>
      </c>
      <c r="E360" s="503"/>
      <c r="F360"/>
      <c r="G360" s="379">
        <f t="shared" si="321"/>
        <v>3103</v>
      </c>
      <c r="H360" s="379">
        <f t="shared" si="322"/>
        <v>2237</v>
      </c>
      <c r="I360" s="379">
        <f t="shared" si="323"/>
        <v>365</v>
      </c>
      <c r="J360" s="379" t="str">
        <f t="shared" si="324"/>
        <v>Y</v>
      </c>
      <c r="K360" s="379">
        <f t="shared" si="325"/>
        <v>984</v>
      </c>
      <c r="L360" s="379">
        <f t="shared" si="326"/>
        <v>0</v>
      </c>
      <c r="M360" s="379">
        <f t="shared" si="327"/>
        <v>971</v>
      </c>
      <c r="N360" s="379">
        <f t="shared" si="328"/>
        <v>0</v>
      </c>
      <c r="O360" s="379">
        <f t="shared" si="329"/>
        <v>0</v>
      </c>
      <c r="P360" s="379" t="str">
        <f t="shared" si="330"/>
        <v>Y</v>
      </c>
      <c r="Q360" s="379" t="str">
        <f t="shared" si="331"/>
        <v>Y</v>
      </c>
      <c r="R360" s="379" t="str">
        <f t="shared" si="332"/>
        <v>The Rock Cardboard</v>
      </c>
      <c r="S360" s="379" t="str">
        <f t="shared" si="333"/>
        <v>Lockhart Lions Club</v>
      </c>
      <c r="T360" s="379" t="str">
        <f t="shared" si="334"/>
        <v>REROC Household Hazardous Waste Collection</v>
      </c>
      <c r="U360" s="379" t="str">
        <f t="shared" si="335"/>
        <v>Lockhart Community Recycling Centre</v>
      </c>
      <c r="V360" s="379">
        <f t="shared" si="336"/>
        <v>0</v>
      </c>
      <c r="W360" s="379">
        <f t="shared" si="337"/>
        <v>0</v>
      </c>
      <c r="X360" s="379">
        <f t="shared" si="338"/>
        <v>0</v>
      </c>
      <c r="Y360" s="379">
        <f t="shared" si="339"/>
        <v>0</v>
      </c>
      <c r="Z360" s="379">
        <f t="shared" si="340"/>
        <v>0</v>
      </c>
      <c r="AA360" s="379">
        <f t="shared" si="341"/>
        <v>0</v>
      </c>
      <c r="AB360" s="379">
        <f t="shared" si="342"/>
        <v>0</v>
      </c>
      <c r="AC360" s="379">
        <f t="shared" si="343"/>
        <v>0</v>
      </c>
      <c r="AD360" s="379">
        <f t="shared" si="344"/>
        <v>0</v>
      </c>
      <c r="AE360" s="379">
        <f t="shared" si="345"/>
        <v>0</v>
      </c>
      <c r="AF360" s="379">
        <f t="shared" si="346"/>
        <v>0</v>
      </c>
      <c r="AG360" s="379">
        <f t="shared" si="347"/>
        <v>0</v>
      </c>
      <c r="AH360" s="379">
        <f t="shared" si="348"/>
        <v>0</v>
      </c>
      <c r="AI360" s="379">
        <f t="shared" si="349"/>
        <v>0</v>
      </c>
      <c r="AJ360" s="379">
        <f t="shared" si="350"/>
        <v>0</v>
      </c>
      <c r="AK360" s="379">
        <f t="shared" si="351"/>
        <v>0</v>
      </c>
      <c r="AL360" s="379">
        <f t="shared" si="352"/>
        <v>0</v>
      </c>
      <c r="AM360" s="379">
        <f t="shared" si="353"/>
        <v>0</v>
      </c>
      <c r="AN360" s="490">
        <f t="shared" si="354"/>
        <v>0</v>
      </c>
      <c r="AO360" s="379">
        <f t="shared" si="355"/>
        <v>0</v>
      </c>
      <c r="AP360" s="379">
        <f t="shared" si="356"/>
        <v>0</v>
      </c>
      <c r="AQ360" s="379">
        <f t="shared" si="357"/>
        <v>0</v>
      </c>
      <c r="AR360" s="379">
        <f t="shared" si="358"/>
        <v>0</v>
      </c>
      <c r="AS360" s="379">
        <f t="shared" si="359"/>
        <v>0</v>
      </c>
      <c r="AT360" s="379">
        <f t="shared" si="360"/>
        <v>0</v>
      </c>
      <c r="AU360" s="379">
        <f t="shared" si="361"/>
        <v>0</v>
      </c>
      <c r="AV360" s="379">
        <f t="shared" si="362"/>
        <v>0</v>
      </c>
      <c r="AW360" s="379">
        <f t="shared" si="363"/>
        <v>0</v>
      </c>
      <c r="AX360" s="379">
        <f t="shared" si="364"/>
        <v>0</v>
      </c>
      <c r="AY360" s="379">
        <f t="shared" si="365"/>
        <v>0</v>
      </c>
    </row>
    <row r="361" spans="1:51" x14ac:dyDescent="0.2">
      <c r="A361" s="376">
        <v>15240</v>
      </c>
      <c r="B361" s="378" t="str">
        <f t="shared" si="318"/>
        <v>Mid-Coast (A)</v>
      </c>
      <c r="C361" s="377" t="str">
        <f t="shared" si="319"/>
        <v>MidWaste</v>
      </c>
      <c r="D361" s="503" t="str">
        <f t="shared" si="320"/>
        <v>R</v>
      </c>
      <c r="E361" s="503"/>
      <c r="F361"/>
      <c r="G361" s="379">
        <f t="shared" si="321"/>
        <v>91648</v>
      </c>
      <c r="H361" s="379">
        <f t="shared" si="322"/>
        <v>66726</v>
      </c>
      <c r="I361" s="379">
        <f t="shared" si="323"/>
        <v>436.33</v>
      </c>
      <c r="J361" s="379" t="str">
        <f t="shared" si="324"/>
        <v>Y</v>
      </c>
      <c r="K361" s="379">
        <f t="shared" si="325"/>
        <v>42879</v>
      </c>
      <c r="L361" s="379">
        <f t="shared" si="326"/>
        <v>0</v>
      </c>
      <c r="M361" s="379">
        <f t="shared" si="327"/>
        <v>43218</v>
      </c>
      <c r="N361" s="379">
        <f t="shared" si="328"/>
        <v>36156</v>
      </c>
      <c r="O361" s="379">
        <f t="shared" si="329"/>
        <v>0</v>
      </c>
      <c r="P361" s="379" t="str">
        <f t="shared" si="330"/>
        <v>Y</v>
      </c>
      <c r="Q361" s="379" t="str">
        <f t="shared" si="331"/>
        <v>Y</v>
      </c>
      <c r="R361" s="379" t="str">
        <f t="shared" si="332"/>
        <v>Bucketts Way Landfill</v>
      </c>
      <c r="S361" s="379" t="str">
        <f t="shared" si="333"/>
        <v>Gloucester Landfill</v>
      </c>
      <c r="T361" s="379" t="str">
        <f t="shared" si="334"/>
        <v>Tuncurry Waste Facility</v>
      </c>
      <c r="U361" s="379" t="str">
        <f t="shared" si="335"/>
        <v>Tea Gardens Transfer Station</v>
      </c>
      <c r="V361" s="379" t="str">
        <f t="shared" si="336"/>
        <v>Bulahdelah Transfer Station</v>
      </c>
      <c r="W361" s="379" t="str">
        <f t="shared" si="337"/>
        <v>Stroud Landfill</v>
      </c>
      <c r="X361" s="379">
        <f t="shared" si="338"/>
        <v>0</v>
      </c>
      <c r="Y361" s="379">
        <f t="shared" si="339"/>
        <v>0</v>
      </c>
      <c r="Z361" s="379">
        <f t="shared" si="340"/>
        <v>0</v>
      </c>
      <c r="AA361" s="379">
        <f t="shared" si="341"/>
        <v>0</v>
      </c>
      <c r="AB361" s="379">
        <f t="shared" si="342"/>
        <v>0</v>
      </c>
      <c r="AC361" s="379">
        <f t="shared" si="343"/>
        <v>0</v>
      </c>
      <c r="AD361" s="379">
        <f t="shared" si="344"/>
        <v>0</v>
      </c>
      <c r="AE361" s="379">
        <f t="shared" si="345"/>
        <v>0</v>
      </c>
      <c r="AF361" s="379">
        <f t="shared" si="346"/>
        <v>0</v>
      </c>
      <c r="AG361" s="379">
        <f t="shared" si="347"/>
        <v>0</v>
      </c>
      <c r="AH361" s="379">
        <f t="shared" si="348"/>
        <v>0</v>
      </c>
      <c r="AI361" s="379">
        <f t="shared" si="349"/>
        <v>0</v>
      </c>
      <c r="AJ361" s="379">
        <f t="shared" si="350"/>
        <v>0</v>
      </c>
      <c r="AK361" s="379">
        <f t="shared" si="351"/>
        <v>0</v>
      </c>
      <c r="AL361" s="379">
        <f t="shared" si="352"/>
        <v>0</v>
      </c>
      <c r="AM361" s="379">
        <f t="shared" si="353"/>
        <v>0</v>
      </c>
      <c r="AN361" s="490">
        <f t="shared" si="354"/>
        <v>0</v>
      </c>
      <c r="AO361" s="379">
        <f t="shared" si="355"/>
        <v>0</v>
      </c>
      <c r="AP361" s="379">
        <f t="shared" si="356"/>
        <v>0</v>
      </c>
      <c r="AQ361" s="379">
        <f t="shared" si="357"/>
        <v>0</v>
      </c>
      <c r="AR361" s="379">
        <f t="shared" si="358"/>
        <v>0</v>
      </c>
      <c r="AS361" s="379">
        <f t="shared" si="359"/>
        <v>0</v>
      </c>
      <c r="AT361" s="379">
        <f t="shared" si="360"/>
        <v>0</v>
      </c>
      <c r="AU361" s="379">
        <f t="shared" si="361"/>
        <v>0</v>
      </c>
      <c r="AV361" s="379">
        <f t="shared" si="362"/>
        <v>0</v>
      </c>
      <c r="AW361" s="379">
        <f t="shared" si="363"/>
        <v>0</v>
      </c>
      <c r="AX361" s="379">
        <f t="shared" si="364"/>
        <v>0</v>
      </c>
      <c r="AY361" s="379">
        <f t="shared" si="365"/>
        <v>0</v>
      </c>
    </row>
    <row r="362" spans="1:51" x14ac:dyDescent="0.2">
      <c r="A362" s="376">
        <v>15270</v>
      </c>
      <c r="B362" s="378" t="str">
        <f t="shared" si="318"/>
        <v>Mid-Western Regional (A)</v>
      </c>
      <c r="C362" s="377" t="str">
        <f t="shared" si="319"/>
        <v>NetWaste</v>
      </c>
      <c r="D362" s="503" t="str">
        <f t="shared" si="320"/>
        <v>N</v>
      </c>
      <c r="E362" s="503"/>
      <c r="F362"/>
      <c r="G362" s="379">
        <f t="shared" si="321"/>
        <v>24313</v>
      </c>
      <c r="H362" s="379">
        <f t="shared" si="322"/>
        <v>13192</v>
      </c>
      <c r="I362" s="379">
        <f t="shared" si="323"/>
        <v>171</v>
      </c>
      <c r="J362" s="379" t="str">
        <f t="shared" si="324"/>
        <v>Y</v>
      </c>
      <c r="K362" s="379">
        <f t="shared" si="325"/>
        <v>7666</v>
      </c>
      <c r="L362" s="379">
        <f t="shared" si="326"/>
        <v>0</v>
      </c>
      <c r="M362" s="379">
        <f t="shared" si="327"/>
        <v>7666</v>
      </c>
      <c r="N362" s="379">
        <f t="shared" si="328"/>
        <v>0</v>
      </c>
      <c r="O362" s="379">
        <f t="shared" si="329"/>
        <v>0</v>
      </c>
      <c r="P362" s="379">
        <f t="shared" si="330"/>
        <v>0</v>
      </c>
      <c r="Q362" s="379" t="str">
        <f t="shared" si="331"/>
        <v>Y</v>
      </c>
      <c r="R362" s="379" t="str">
        <f t="shared" si="332"/>
        <v>Kandos Waste Transfer Station</v>
      </c>
      <c r="S362" s="379" t="str">
        <f t="shared" si="333"/>
        <v>Mudgee Waste Facility</v>
      </c>
      <c r="T362" s="379" t="str">
        <f t="shared" si="334"/>
        <v>Other Waste Transfers x 13</v>
      </c>
      <c r="U362" s="379">
        <f t="shared" si="335"/>
        <v>0</v>
      </c>
      <c r="V362" s="379">
        <f t="shared" si="336"/>
        <v>0</v>
      </c>
      <c r="W362" s="379">
        <f t="shared" si="337"/>
        <v>0</v>
      </c>
      <c r="X362" s="379">
        <f t="shared" si="338"/>
        <v>0</v>
      </c>
      <c r="Y362" s="379">
        <f t="shared" si="339"/>
        <v>0</v>
      </c>
      <c r="Z362" s="379">
        <f t="shared" si="340"/>
        <v>0</v>
      </c>
      <c r="AA362" s="379">
        <f t="shared" si="341"/>
        <v>0</v>
      </c>
      <c r="AB362" s="379">
        <f t="shared" si="342"/>
        <v>0</v>
      </c>
      <c r="AC362" s="379">
        <f t="shared" si="343"/>
        <v>0</v>
      </c>
      <c r="AD362" s="379">
        <f t="shared" si="344"/>
        <v>0</v>
      </c>
      <c r="AE362" s="379">
        <f t="shared" si="345"/>
        <v>0</v>
      </c>
      <c r="AF362" s="379">
        <f t="shared" si="346"/>
        <v>0</v>
      </c>
      <c r="AG362" s="379">
        <f t="shared" si="347"/>
        <v>0</v>
      </c>
      <c r="AH362" s="379">
        <f t="shared" si="348"/>
        <v>0</v>
      </c>
      <c r="AI362" s="379">
        <f t="shared" si="349"/>
        <v>0</v>
      </c>
      <c r="AJ362" s="379">
        <f t="shared" si="350"/>
        <v>0</v>
      </c>
      <c r="AK362" s="379">
        <f t="shared" si="351"/>
        <v>0</v>
      </c>
      <c r="AL362" s="379">
        <f t="shared" si="352"/>
        <v>0</v>
      </c>
      <c r="AM362" s="379">
        <f t="shared" si="353"/>
        <v>0</v>
      </c>
      <c r="AN362" s="490">
        <f t="shared" si="354"/>
        <v>0</v>
      </c>
      <c r="AO362" s="379">
        <f t="shared" si="355"/>
        <v>0</v>
      </c>
      <c r="AP362" s="379">
        <f t="shared" si="356"/>
        <v>0</v>
      </c>
      <c r="AQ362" s="379">
        <f t="shared" si="357"/>
        <v>0</v>
      </c>
      <c r="AR362" s="379">
        <f t="shared" si="358"/>
        <v>0</v>
      </c>
      <c r="AS362" s="379">
        <f t="shared" si="359"/>
        <v>0</v>
      </c>
      <c r="AT362" s="379">
        <f t="shared" si="360"/>
        <v>0</v>
      </c>
      <c r="AU362" s="379">
        <f t="shared" si="361"/>
        <v>0</v>
      </c>
      <c r="AV362" s="379">
        <f t="shared" si="362"/>
        <v>0</v>
      </c>
      <c r="AW362" s="379">
        <f t="shared" si="363"/>
        <v>0</v>
      </c>
      <c r="AX362" s="379">
        <f t="shared" si="364"/>
        <v>0</v>
      </c>
      <c r="AY362" s="379">
        <f t="shared" si="365"/>
        <v>0</v>
      </c>
    </row>
    <row r="363" spans="1:51" x14ac:dyDescent="0.2">
      <c r="A363" s="376">
        <v>15300</v>
      </c>
      <c r="B363" s="378" t="str">
        <f t="shared" si="318"/>
        <v>Moree Plains (A)</v>
      </c>
      <c r="C363" s="377" t="str">
        <f t="shared" si="319"/>
        <v>NIRW</v>
      </c>
      <c r="D363" s="503" t="str">
        <f t="shared" si="320"/>
        <v>N</v>
      </c>
      <c r="E363" s="503"/>
      <c r="F363"/>
      <c r="G363" s="379">
        <f t="shared" si="321"/>
        <v>13866</v>
      </c>
      <c r="H363" s="379">
        <f t="shared" si="322"/>
        <v>6529</v>
      </c>
      <c r="I363" s="379">
        <f t="shared" si="323"/>
        <v>438.35</v>
      </c>
      <c r="J363" s="379" t="str">
        <f t="shared" si="324"/>
        <v>Y</v>
      </c>
      <c r="K363" s="379">
        <f t="shared" si="325"/>
        <v>5881</v>
      </c>
      <c r="L363" s="379">
        <f t="shared" si="326"/>
        <v>0</v>
      </c>
      <c r="M363" s="379">
        <f t="shared" si="327"/>
        <v>4664</v>
      </c>
      <c r="N363" s="379">
        <f t="shared" si="328"/>
        <v>0</v>
      </c>
      <c r="O363" s="379">
        <f t="shared" si="329"/>
        <v>4669</v>
      </c>
      <c r="P363" s="379" t="str">
        <f t="shared" si="330"/>
        <v>Y</v>
      </c>
      <c r="Q363" s="379" t="str">
        <f t="shared" si="331"/>
        <v>Y</v>
      </c>
      <c r="R363" s="379" t="str">
        <f t="shared" si="332"/>
        <v>Moree Waste Management Facility</v>
      </c>
      <c r="S363" s="379" t="str">
        <f t="shared" si="333"/>
        <v>Mungindi Transferstation</v>
      </c>
      <c r="T363" s="379" t="str">
        <f t="shared" si="334"/>
        <v>Pallamallawa Landfill</v>
      </c>
      <c r="U363" s="379" t="str">
        <f t="shared" si="335"/>
        <v>Biniguy Landfill</v>
      </c>
      <c r="V363" s="379" t="str">
        <f t="shared" si="336"/>
        <v>Boggabilla Landfill</v>
      </c>
      <c r="W363" s="379" t="str">
        <f t="shared" si="337"/>
        <v>Other landfills</v>
      </c>
      <c r="X363" s="379">
        <f t="shared" si="338"/>
        <v>0</v>
      </c>
      <c r="Y363" s="379">
        <f t="shared" si="339"/>
        <v>0</v>
      </c>
      <c r="Z363" s="379">
        <f t="shared" si="340"/>
        <v>0</v>
      </c>
      <c r="AA363" s="379">
        <f t="shared" si="341"/>
        <v>0</v>
      </c>
      <c r="AB363" s="379">
        <f t="shared" si="342"/>
        <v>0</v>
      </c>
      <c r="AC363" s="379">
        <f t="shared" si="343"/>
        <v>0</v>
      </c>
      <c r="AD363" s="379">
        <f t="shared" si="344"/>
        <v>0</v>
      </c>
      <c r="AE363" s="379">
        <f t="shared" si="345"/>
        <v>0</v>
      </c>
      <c r="AF363" s="379">
        <f t="shared" si="346"/>
        <v>0</v>
      </c>
      <c r="AG363" s="379">
        <f t="shared" si="347"/>
        <v>0</v>
      </c>
      <c r="AH363" s="379">
        <f t="shared" si="348"/>
        <v>0</v>
      </c>
      <c r="AI363" s="379">
        <f t="shared" si="349"/>
        <v>0</v>
      </c>
      <c r="AJ363" s="379">
        <f t="shared" si="350"/>
        <v>0</v>
      </c>
      <c r="AK363" s="379">
        <f t="shared" si="351"/>
        <v>0</v>
      </c>
      <c r="AL363" s="379">
        <f t="shared" si="352"/>
        <v>0</v>
      </c>
      <c r="AM363" s="379">
        <f t="shared" si="353"/>
        <v>0</v>
      </c>
      <c r="AN363" s="490">
        <f t="shared" si="354"/>
        <v>0</v>
      </c>
      <c r="AO363" s="379">
        <f t="shared" si="355"/>
        <v>0</v>
      </c>
      <c r="AP363" s="379">
        <f t="shared" si="356"/>
        <v>0</v>
      </c>
      <c r="AQ363" s="379">
        <f t="shared" si="357"/>
        <v>0</v>
      </c>
      <c r="AR363" s="379">
        <f t="shared" si="358"/>
        <v>0</v>
      </c>
      <c r="AS363" s="379">
        <f t="shared" si="359"/>
        <v>0</v>
      </c>
      <c r="AT363" s="379">
        <f t="shared" si="360"/>
        <v>0</v>
      </c>
      <c r="AU363" s="379">
        <f t="shared" si="361"/>
        <v>0</v>
      </c>
      <c r="AV363" s="379">
        <f t="shared" si="362"/>
        <v>0</v>
      </c>
      <c r="AW363" s="379">
        <f t="shared" si="363"/>
        <v>0</v>
      </c>
      <c r="AX363" s="379">
        <f t="shared" si="364"/>
        <v>0</v>
      </c>
      <c r="AY363" s="379">
        <f t="shared" si="365"/>
        <v>0</v>
      </c>
    </row>
    <row r="364" spans="1:51" x14ac:dyDescent="0.2">
      <c r="A364" s="376">
        <v>15520</v>
      </c>
      <c r="B364" s="378" t="str">
        <f t="shared" si="318"/>
        <v>Murray River (A)</v>
      </c>
      <c r="C364" s="377" t="str">
        <f t="shared" si="319"/>
        <v>RAMROC Murray</v>
      </c>
      <c r="D364" s="503" t="str">
        <f t="shared" si="320"/>
        <v>N</v>
      </c>
      <c r="E364" s="503"/>
      <c r="F364"/>
      <c r="G364" s="379">
        <f t="shared" si="321"/>
        <v>11596</v>
      </c>
      <c r="H364" s="379">
        <f t="shared" si="322"/>
        <v>5283</v>
      </c>
      <c r="I364" s="379">
        <f t="shared" si="323"/>
        <v>198.99</v>
      </c>
      <c r="J364" s="379" t="str">
        <f t="shared" si="324"/>
        <v>Y</v>
      </c>
      <c r="K364" s="379">
        <f t="shared" si="325"/>
        <v>4763</v>
      </c>
      <c r="L364" s="379">
        <f t="shared" si="326"/>
        <v>0</v>
      </c>
      <c r="M364" s="379">
        <f t="shared" si="327"/>
        <v>4680</v>
      </c>
      <c r="N364" s="379">
        <f t="shared" si="328"/>
        <v>0</v>
      </c>
      <c r="O364" s="379">
        <f t="shared" si="329"/>
        <v>0</v>
      </c>
      <c r="P364" s="379">
        <f t="shared" si="330"/>
        <v>0</v>
      </c>
      <c r="Q364" s="379" t="str">
        <f t="shared" si="331"/>
        <v>Y</v>
      </c>
      <c r="R364" s="379" t="str">
        <f t="shared" si="332"/>
        <v>Mathoura Transfer Station</v>
      </c>
      <c r="S364" s="379" t="str">
        <f t="shared" si="333"/>
        <v>Moama Landfill</v>
      </c>
      <c r="T364" s="379" t="str">
        <f t="shared" si="334"/>
        <v>Barham Transfer Station</v>
      </c>
      <c r="U364" s="379" t="str">
        <f t="shared" si="335"/>
        <v>Wakool Landfill</v>
      </c>
      <c r="V364" s="379" t="str">
        <f t="shared" si="336"/>
        <v>Goodnight Landfill</v>
      </c>
      <c r="W364" s="379" t="str">
        <f t="shared" si="337"/>
        <v>Moulamein/Kooraleigh Landfill</v>
      </c>
      <c r="X364" s="379">
        <f t="shared" si="338"/>
        <v>0</v>
      </c>
      <c r="Y364" s="379">
        <f t="shared" si="339"/>
        <v>0</v>
      </c>
      <c r="Z364" s="379">
        <f t="shared" si="340"/>
        <v>0</v>
      </c>
      <c r="AA364" s="379">
        <f t="shared" si="341"/>
        <v>0</v>
      </c>
      <c r="AB364" s="379">
        <f t="shared" si="342"/>
        <v>0</v>
      </c>
      <c r="AC364" s="379">
        <f t="shared" si="343"/>
        <v>0</v>
      </c>
      <c r="AD364" s="379">
        <f t="shared" si="344"/>
        <v>0</v>
      </c>
      <c r="AE364" s="379">
        <f t="shared" si="345"/>
        <v>0</v>
      </c>
      <c r="AF364" s="379">
        <f t="shared" si="346"/>
        <v>0</v>
      </c>
      <c r="AG364" s="379">
        <f t="shared" si="347"/>
        <v>0</v>
      </c>
      <c r="AH364" s="379">
        <f t="shared" si="348"/>
        <v>0</v>
      </c>
      <c r="AI364" s="379">
        <f t="shared" si="349"/>
        <v>0</v>
      </c>
      <c r="AJ364" s="379">
        <f t="shared" si="350"/>
        <v>0</v>
      </c>
      <c r="AK364" s="379">
        <f t="shared" si="351"/>
        <v>0</v>
      </c>
      <c r="AL364" s="379">
        <f t="shared" si="352"/>
        <v>0</v>
      </c>
      <c r="AM364" s="379">
        <f t="shared" si="353"/>
        <v>0</v>
      </c>
      <c r="AN364" s="490">
        <f t="shared" si="354"/>
        <v>0</v>
      </c>
      <c r="AO364" s="379">
        <f t="shared" si="355"/>
        <v>0</v>
      </c>
      <c r="AP364" s="379">
        <f t="shared" si="356"/>
        <v>0</v>
      </c>
      <c r="AQ364" s="379">
        <f t="shared" si="357"/>
        <v>0</v>
      </c>
      <c r="AR364" s="379">
        <f t="shared" si="358"/>
        <v>0</v>
      </c>
      <c r="AS364" s="379">
        <f t="shared" si="359"/>
        <v>0</v>
      </c>
      <c r="AT364" s="379">
        <f t="shared" si="360"/>
        <v>0</v>
      </c>
      <c r="AU364" s="379">
        <f t="shared" si="361"/>
        <v>0</v>
      </c>
      <c r="AV364" s="379">
        <f t="shared" si="362"/>
        <v>0</v>
      </c>
      <c r="AW364" s="379">
        <f t="shared" si="363"/>
        <v>0</v>
      </c>
      <c r="AX364" s="379">
        <f t="shared" si="364"/>
        <v>0</v>
      </c>
      <c r="AY364" s="379">
        <f t="shared" si="365"/>
        <v>0</v>
      </c>
    </row>
    <row r="365" spans="1:51" x14ac:dyDescent="0.2">
      <c r="A365" s="376">
        <v>15560</v>
      </c>
      <c r="B365" s="378" t="str">
        <f t="shared" si="318"/>
        <v>Murrumbidgee (A)</v>
      </c>
      <c r="C365" s="377" t="str">
        <f t="shared" si="319"/>
        <v>RAMROC Riverina</v>
      </c>
      <c r="D365" s="503" t="str">
        <f t="shared" si="320"/>
        <v>N</v>
      </c>
      <c r="E365" s="503"/>
      <c r="F365"/>
      <c r="G365" s="379">
        <f t="shared" si="321"/>
        <v>4071</v>
      </c>
      <c r="H365" s="379">
        <f t="shared" si="322"/>
        <v>1128</v>
      </c>
      <c r="I365" s="379">
        <f t="shared" si="323"/>
        <v>155</v>
      </c>
      <c r="J365" s="379" t="str">
        <f t="shared" si="324"/>
        <v>Y</v>
      </c>
      <c r="K365" s="379">
        <f t="shared" si="325"/>
        <v>1460</v>
      </c>
      <c r="L365" s="379">
        <f t="shared" si="326"/>
        <v>0</v>
      </c>
      <c r="M365" s="379">
        <f t="shared" si="327"/>
        <v>800</v>
      </c>
      <c r="N365" s="379">
        <f t="shared" si="328"/>
        <v>0</v>
      </c>
      <c r="O365" s="379">
        <f t="shared" si="329"/>
        <v>0</v>
      </c>
      <c r="P365" s="379">
        <f t="shared" si="330"/>
        <v>0</v>
      </c>
      <c r="Q365" s="379">
        <f t="shared" si="331"/>
        <v>0</v>
      </c>
      <c r="R365" s="379">
        <f t="shared" si="332"/>
        <v>0</v>
      </c>
      <c r="S365" s="379">
        <f t="shared" si="333"/>
        <v>0</v>
      </c>
      <c r="T365" s="379">
        <f t="shared" si="334"/>
        <v>0</v>
      </c>
      <c r="U365" s="379">
        <f t="shared" si="335"/>
        <v>0</v>
      </c>
      <c r="V365" s="379">
        <f t="shared" si="336"/>
        <v>0</v>
      </c>
      <c r="W365" s="379">
        <f t="shared" si="337"/>
        <v>0</v>
      </c>
      <c r="X365" s="379">
        <f t="shared" si="338"/>
        <v>0</v>
      </c>
      <c r="Y365" s="379">
        <f t="shared" si="339"/>
        <v>0</v>
      </c>
      <c r="Z365" s="379">
        <f t="shared" si="340"/>
        <v>0</v>
      </c>
      <c r="AA365" s="379">
        <f t="shared" si="341"/>
        <v>0</v>
      </c>
      <c r="AB365" s="379">
        <f t="shared" si="342"/>
        <v>0</v>
      </c>
      <c r="AC365" s="379">
        <f t="shared" si="343"/>
        <v>0</v>
      </c>
      <c r="AD365" s="379">
        <f t="shared" si="344"/>
        <v>0</v>
      </c>
      <c r="AE365" s="379">
        <f t="shared" si="345"/>
        <v>0</v>
      </c>
      <c r="AF365" s="379">
        <f t="shared" si="346"/>
        <v>0</v>
      </c>
      <c r="AG365" s="379">
        <f t="shared" si="347"/>
        <v>0</v>
      </c>
      <c r="AH365" s="379">
        <f t="shared" si="348"/>
        <v>0</v>
      </c>
      <c r="AI365" s="379">
        <f t="shared" si="349"/>
        <v>0</v>
      </c>
      <c r="AJ365" s="379">
        <f t="shared" si="350"/>
        <v>0</v>
      </c>
      <c r="AK365" s="379">
        <f t="shared" si="351"/>
        <v>0</v>
      </c>
      <c r="AL365" s="379">
        <f t="shared" si="352"/>
        <v>0</v>
      </c>
      <c r="AM365" s="379">
        <f t="shared" si="353"/>
        <v>0</v>
      </c>
      <c r="AN365" s="490">
        <f t="shared" si="354"/>
        <v>0</v>
      </c>
      <c r="AO365" s="379">
        <f t="shared" si="355"/>
        <v>0</v>
      </c>
      <c r="AP365" s="379">
        <f t="shared" si="356"/>
        <v>0</v>
      </c>
      <c r="AQ365" s="379">
        <f t="shared" si="357"/>
        <v>0</v>
      </c>
      <c r="AR365" s="379">
        <f t="shared" si="358"/>
        <v>0</v>
      </c>
      <c r="AS365" s="379">
        <f t="shared" si="359"/>
        <v>0</v>
      </c>
      <c r="AT365" s="379">
        <f t="shared" si="360"/>
        <v>0</v>
      </c>
      <c r="AU365" s="379">
        <f t="shared" si="361"/>
        <v>0</v>
      </c>
      <c r="AV365" s="379">
        <f t="shared" si="362"/>
        <v>0</v>
      </c>
      <c r="AW365" s="379">
        <f t="shared" si="363"/>
        <v>0</v>
      </c>
      <c r="AX365" s="379">
        <f t="shared" si="364"/>
        <v>0</v>
      </c>
      <c r="AY365" s="379">
        <f t="shared" si="365"/>
        <v>0</v>
      </c>
    </row>
    <row r="366" spans="1:51" x14ac:dyDescent="0.2">
      <c r="A366" s="376">
        <v>15650</v>
      </c>
      <c r="B366" s="378" t="str">
        <f t="shared" si="318"/>
        <v>Muswellbrook (A)</v>
      </c>
      <c r="C366" s="377" t="str">
        <f t="shared" si="319"/>
        <v>Hunter</v>
      </c>
      <c r="D366" s="503" t="str">
        <f t="shared" si="320"/>
        <v>R</v>
      </c>
      <c r="E366" s="503"/>
      <c r="F366"/>
      <c r="G366" s="379">
        <f t="shared" si="321"/>
        <v>17414</v>
      </c>
      <c r="H366" s="379">
        <f t="shared" si="322"/>
        <v>7314</v>
      </c>
      <c r="I366" s="379">
        <f t="shared" si="323"/>
        <v>361</v>
      </c>
      <c r="J366" s="379" t="str">
        <f t="shared" si="324"/>
        <v>Y</v>
      </c>
      <c r="K366" s="379">
        <f t="shared" si="325"/>
        <v>6699</v>
      </c>
      <c r="L366" s="379">
        <f t="shared" si="326"/>
        <v>0</v>
      </c>
      <c r="M366" s="379">
        <f t="shared" si="327"/>
        <v>6578</v>
      </c>
      <c r="N366" s="379">
        <f t="shared" si="328"/>
        <v>6021</v>
      </c>
      <c r="O366" s="379">
        <f t="shared" si="329"/>
        <v>0</v>
      </c>
      <c r="P366" s="379" t="str">
        <f t="shared" si="330"/>
        <v>Y</v>
      </c>
      <c r="Q366" s="379" t="str">
        <f t="shared" si="331"/>
        <v>Y</v>
      </c>
      <c r="R366" s="379" t="str">
        <f t="shared" si="332"/>
        <v>Muswellbrook Waste &amp; Recycling Facility</v>
      </c>
      <c r="S366" s="379" t="str">
        <f t="shared" si="333"/>
        <v>Denman Transfer Station</v>
      </c>
      <c r="T366" s="379">
        <f t="shared" si="334"/>
        <v>0</v>
      </c>
      <c r="U366" s="379">
        <f t="shared" si="335"/>
        <v>0</v>
      </c>
      <c r="V366" s="379">
        <f t="shared" si="336"/>
        <v>0</v>
      </c>
      <c r="W366" s="379">
        <f t="shared" si="337"/>
        <v>0</v>
      </c>
      <c r="X366" s="379">
        <f t="shared" si="338"/>
        <v>0</v>
      </c>
      <c r="Y366" s="379">
        <f t="shared" si="339"/>
        <v>0</v>
      </c>
      <c r="Z366" s="379">
        <f t="shared" si="340"/>
        <v>0</v>
      </c>
      <c r="AA366" s="379">
        <f t="shared" si="341"/>
        <v>0</v>
      </c>
      <c r="AB366" s="379">
        <f t="shared" si="342"/>
        <v>0</v>
      </c>
      <c r="AC366" s="379">
        <f t="shared" si="343"/>
        <v>0</v>
      </c>
      <c r="AD366" s="379">
        <f t="shared" si="344"/>
        <v>0</v>
      </c>
      <c r="AE366" s="379">
        <f t="shared" si="345"/>
        <v>0</v>
      </c>
      <c r="AF366" s="379">
        <f t="shared" si="346"/>
        <v>0</v>
      </c>
      <c r="AG366" s="379">
        <f t="shared" si="347"/>
        <v>0</v>
      </c>
      <c r="AH366" s="379">
        <f t="shared" si="348"/>
        <v>0</v>
      </c>
      <c r="AI366" s="379">
        <f t="shared" si="349"/>
        <v>0</v>
      </c>
      <c r="AJ366" s="379">
        <f t="shared" si="350"/>
        <v>0</v>
      </c>
      <c r="AK366" s="379">
        <f t="shared" si="351"/>
        <v>0</v>
      </c>
      <c r="AL366" s="379">
        <f t="shared" si="352"/>
        <v>0</v>
      </c>
      <c r="AM366" s="379">
        <f t="shared" si="353"/>
        <v>0</v>
      </c>
      <c r="AN366" s="490">
        <f t="shared" si="354"/>
        <v>0</v>
      </c>
      <c r="AO366" s="379">
        <f t="shared" si="355"/>
        <v>0</v>
      </c>
      <c r="AP366" s="379">
        <f t="shared" si="356"/>
        <v>0</v>
      </c>
      <c r="AQ366" s="379">
        <f t="shared" si="357"/>
        <v>0</v>
      </c>
      <c r="AR366" s="379">
        <f t="shared" si="358"/>
        <v>0</v>
      </c>
      <c r="AS366" s="379">
        <f t="shared" si="359"/>
        <v>0</v>
      </c>
      <c r="AT366" s="379">
        <f t="shared" si="360"/>
        <v>0</v>
      </c>
      <c r="AU366" s="379">
        <f t="shared" si="361"/>
        <v>0</v>
      </c>
      <c r="AV366" s="379">
        <f t="shared" si="362"/>
        <v>0</v>
      </c>
      <c r="AW366" s="379">
        <f t="shared" si="363"/>
        <v>0</v>
      </c>
      <c r="AX366" s="379">
        <f t="shared" si="364"/>
        <v>0</v>
      </c>
      <c r="AY366" s="379">
        <f t="shared" si="365"/>
        <v>0</v>
      </c>
    </row>
    <row r="367" spans="1:51" x14ac:dyDescent="0.2">
      <c r="A367" s="376">
        <v>15700</v>
      </c>
      <c r="B367" s="378" t="str">
        <f t="shared" si="318"/>
        <v>Nambucca (A)</v>
      </c>
      <c r="C367" s="377" t="str">
        <f t="shared" si="319"/>
        <v>MidWaste</v>
      </c>
      <c r="D367" s="503" t="str">
        <f t="shared" si="320"/>
        <v>R</v>
      </c>
      <c r="E367" s="503"/>
      <c r="F367"/>
      <c r="G367" s="379">
        <f t="shared" si="321"/>
        <v>19808</v>
      </c>
      <c r="H367" s="379">
        <f t="shared" si="322"/>
        <v>8154</v>
      </c>
      <c r="I367" s="379">
        <f t="shared" si="323"/>
        <v>527</v>
      </c>
      <c r="J367" s="379" t="str">
        <f t="shared" si="324"/>
        <v>Y</v>
      </c>
      <c r="K367" s="379">
        <f t="shared" si="325"/>
        <v>7625</v>
      </c>
      <c r="L367" s="379" t="str">
        <f t="shared" si="326"/>
        <v>Y</v>
      </c>
      <c r="M367" s="379">
        <f t="shared" si="327"/>
        <v>7625</v>
      </c>
      <c r="N367" s="379">
        <f t="shared" si="328"/>
        <v>0</v>
      </c>
      <c r="O367" s="379">
        <f t="shared" si="329"/>
        <v>7625</v>
      </c>
      <c r="P367" s="379" t="str">
        <f t="shared" si="330"/>
        <v>Y</v>
      </c>
      <c r="Q367" s="379" t="str">
        <f t="shared" si="331"/>
        <v>Y</v>
      </c>
      <c r="R367" s="379" t="str">
        <f t="shared" si="332"/>
        <v>Nambucca Waste Facility</v>
      </c>
      <c r="S367" s="379">
        <f t="shared" si="333"/>
        <v>0</v>
      </c>
      <c r="T367" s="379">
        <f t="shared" si="334"/>
        <v>0</v>
      </c>
      <c r="U367" s="379">
        <f t="shared" si="335"/>
        <v>0</v>
      </c>
      <c r="V367" s="379">
        <f t="shared" si="336"/>
        <v>0</v>
      </c>
      <c r="W367" s="379">
        <f t="shared" si="337"/>
        <v>0</v>
      </c>
      <c r="X367" s="379">
        <f t="shared" si="338"/>
        <v>0</v>
      </c>
      <c r="Y367" s="379">
        <f t="shared" si="339"/>
        <v>0</v>
      </c>
      <c r="Z367" s="379">
        <f t="shared" si="340"/>
        <v>0</v>
      </c>
      <c r="AA367" s="379">
        <f t="shared" si="341"/>
        <v>0</v>
      </c>
      <c r="AB367" s="379">
        <f t="shared" si="342"/>
        <v>0</v>
      </c>
      <c r="AC367" s="379">
        <f t="shared" si="343"/>
        <v>0</v>
      </c>
      <c r="AD367" s="379">
        <f t="shared" si="344"/>
        <v>0</v>
      </c>
      <c r="AE367" s="379">
        <f t="shared" si="345"/>
        <v>0</v>
      </c>
      <c r="AF367" s="379">
        <f t="shared" si="346"/>
        <v>0</v>
      </c>
      <c r="AG367" s="379">
        <f t="shared" si="347"/>
        <v>0</v>
      </c>
      <c r="AH367" s="379">
        <f t="shared" si="348"/>
        <v>0</v>
      </c>
      <c r="AI367" s="379">
        <f t="shared" si="349"/>
        <v>0</v>
      </c>
      <c r="AJ367" s="379">
        <f t="shared" si="350"/>
        <v>0</v>
      </c>
      <c r="AK367" s="379">
        <f t="shared" si="351"/>
        <v>0</v>
      </c>
      <c r="AL367" s="379">
        <f t="shared" si="352"/>
        <v>0</v>
      </c>
      <c r="AM367" s="379">
        <f t="shared" si="353"/>
        <v>0</v>
      </c>
      <c r="AN367" s="490">
        <f t="shared" si="354"/>
        <v>0</v>
      </c>
      <c r="AO367" s="379">
        <f t="shared" si="355"/>
        <v>0</v>
      </c>
      <c r="AP367" s="379">
        <f t="shared" si="356"/>
        <v>0</v>
      </c>
      <c r="AQ367" s="379">
        <f t="shared" si="357"/>
        <v>0</v>
      </c>
      <c r="AR367" s="379">
        <f t="shared" si="358"/>
        <v>0</v>
      </c>
      <c r="AS367" s="379">
        <f t="shared" si="359"/>
        <v>0</v>
      </c>
      <c r="AT367" s="379">
        <f t="shared" si="360"/>
        <v>0</v>
      </c>
      <c r="AU367" s="379">
        <f t="shared" si="361"/>
        <v>0</v>
      </c>
      <c r="AV367" s="379">
        <f t="shared" si="362"/>
        <v>0</v>
      </c>
      <c r="AW367" s="379">
        <f t="shared" si="363"/>
        <v>0</v>
      </c>
      <c r="AX367" s="379">
        <f t="shared" si="364"/>
        <v>0</v>
      </c>
      <c r="AY367" s="379">
        <f t="shared" si="365"/>
        <v>0</v>
      </c>
    </row>
    <row r="368" spans="1:51" x14ac:dyDescent="0.2">
      <c r="A368" s="376">
        <v>15750</v>
      </c>
      <c r="B368" s="378" t="str">
        <f t="shared" si="318"/>
        <v>Narrabri (A)</v>
      </c>
      <c r="C368" s="377" t="str">
        <f t="shared" si="319"/>
        <v>NIRW</v>
      </c>
      <c r="D368" s="503" t="str">
        <f t="shared" si="320"/>
        <v>N</v>
      </c>
      <c r="E368" s="503"/>
      <c r="F368"/>
      <c r="G368" s="379">
        <f t="shared" si="321"/>
        <v>13717</v>
      </c>
      <c r="H368" s="379">
        <f t="shared" si="322"/>
        <v>5055</v>
      </c>
      <c r="I368" s="379">
        <f t="shared" si="323"/>
        <v>310</v>
      </c>
      <c r="J368" s="379" t="str">
        <f t="shared" si="324"/>
        <v>Y</v>
      </c>
      <c r="K368" s="379">
        <f t="shared" si="325"/>
        <v>4277</v>
      </c>
      <c r="L368" s="379">
        <f t="shared" si="326"/>
        <v>0</v>
      </c>
      <c r="M368" s="379">
        <f t="shared" si="327"/>
        <v>4245</v>
      </c>
      <c r="N368" s="379">
        <f t="shared" si="328"/>
        <v>0</v>
      </c>
      <c r="O368" s="379">
        <f t="shared" si="329"/>
        <v>4262</v>
      </c>
      <c r="P368" s="379" t="str">
        <f t="shared" si="330"/>
        <v>Y</v>
      </c>
      <c r="Q368" s="379" t="str">
        <f t="shared" si="331"/>
        <v>Y</v>
      </c>
      <c r="R368" s="379" t="str">
        <f t="shared" si="332"/>
        <v>9 transfer stations</v>
      </c>
      <c r="S368" s="379">
        <f t="shared" si="333"/>
        <v>0</v>
      </c>
      <c r="T368" s="379">
        <f t="shared" si="334"/>
        <v>0</v>
      </c>
      <c r="U368" s="379">
        <f t="shared" si="335"/>
        <v>0</v>
      </c>
      <c r="V368" s="379">
        <f t="shared" si="336"/>
        <v>0</v>
      </c>
      <c r="W368" s="379">
        <f t="shared" si="337"/>
        <v>0</v>
      </c>
      <c r="X368" s="379">
        <f t="shared" si="338"/>
        <v>0</v>
      </c>
      <c r="Y368" s="379">
        <f t="shared" si="339"/>
        <v>0</v>
      </c>
      <c r="Z368" s="379">
        <f t="shared" si="340"/>
        <v>0</v>
      </c>
      <c r="AA368" s="379">
        <f t="shared" si="341"/>
        <v>0</v>
      </c>
      <c r="AB368" s="379">
        <f t="shared" si="342"/>
        <v>0</v>
      </c>
      <c r="AC368" s="379">
        <f t="shared" si="343"/>
        <v>0</v>
      </c>
      <c r="AD368" s="379">
        <f t="shared" si="344"/>
        <v>0</v>
      </c>
      <c r="AE368" s="379">
        <f t="shared" si="345"/>
        <v>0</v>
      </c>
      <c r="AF368" s="379">
        <f t="shared" si="346"/>
        <v>0</v>
      </c>
      <c r="AG368" s="379">
        <f t="shared" si="347"/>
        <v>0</v>
      </c>
      <c r="AH368" s="379">
        <f t="shared" si="348"/>
        <v>0</v>
      </c>
      <c r="AI368" s="379">
        <f t="shared" si="349"/>
        <v>0</v>
      </c>
      <c r="AJ368" s="379">
        <f t="shared" si="350"/>
        <v>0</v>
      </c>
      <c r="AK368" s="379">
        <f t="shared" si="351"/>
        <v>0</v>
      </c>
      <c r="AL368" s="379">
        <f t="shared" si="352"/>
        <v>0</v>
      </c>
      <c r="AM368" s="379">
        <f t="shared" si="353"/>
        <v>0</v>
      </c>
      <c r="AN368" s="490">
        <f t="shared" si="354"/>
        <v>0</v>
      </c>
      <c r="AO368" s="379">
        <f t="shared" si="355"/>
        <v>0</v>
      </c>
      <c r="AP368" s="379">
        <f t="shared" si="356"/>
        <v>0</v>
      </c>
      <c r="AQ368" s="379">
        <f t="shared" si="357"/>
        <v>0</v>
      </c>
      <c r="AR368" s="379">
        <f t="shared" si="358"/>
        <v>0</v>
      </c>
      <c r="AS368" s="379">
        <f t="shared" si="359"/>
        <v>0</v>
      </c>
      <c r="AT368" s="379">
        <f t="shared" si="360"/>
        <v>0</v>
      </c>
      <c r="AU368" s="379">
        <f t="shared" si="361"/>
        <v>0</v>
      </c>
      <c r="AV368" s="379">
        <f t="shared" si="362"/>
        <v>0</v>
      </c>
      <c r="AW368" s="379">
        <f t="shared" si="363"/>
        <v>0</v>
      </c>
      <c r="AX368" s="379">
        <f t="shared" si="364"/>
        <v>0</v>
      </c>
      <c r="AY368" s="379">
        <f t="shared" si="365"/>
        <v>0</v>
      </c>
    </row>
    <row r="369" spans="1:51" x14ac:dyDescent="0.2">
      <c r="A369" s="376">
        <v>15800</v>
      </c>
      <c r="B369" s="378" t="str">
        <f t="shared" si="318"/>
        <v>Narrandera (A)</v>
      </c>
      <c r="C369" s="377" t="str">
        <f t="shared" si="319"/>
        <v>RAMROC Riverina</v>
      </c>
      <c r="D369" s="503" t="str">
        <f t="shared" si="320"/>
        <v>N</v>
      </c>
      <c r="E369" s="503"/>
      <c r="F369"/>
      <c r="G369" s="379">
        <f t="shared" si="321"/>
        <v>5912</v>
      </c>
      <c r="H369" s="379">
        <f t="shared" si="322"/>
        <v>2546</v>
      </c>
      <c r="I369" s="379">
        <f t="shared" si="323"/>
        <v>48.5</v>
      </c>
      <c r="J369" s="379" t="str">
        <f t="shared" si="324"/>
        <v>Y</v>
      </c>
      <c r="K369" s="379">
        <f t="shared" si="325"/>
        <v>3047</v>
      </c>
      <c r="L369" s="379">
        <f t="shared" si="326"/>
        <v>0</v>
      </c>
      <c r="M369" s="379">
        <f t="shared" si="327"/>
        <v>1012</v>
      </c>
      <c r="N369" s="379">
        <f t="shared" si="328"/>
        <v>0</v>
      </c>
      <c r="O369" s="379">
        <f t="shared" si="329"/>
        <v>0</v>
      </c>
      <c r="P369" s="379">
        <f t="shared" si="330"/>
        <v>0</v>
      </c>
      <c r="Q369" s="379">
        <f t="shared" si="331"/>
        <v>0</v>
      </c>
      <c r="R369" s="379">
        <f t="shared" si="332"/>
        <v>0</v>
      </c>
      <c r="S369" s="379">
        <f t="shared" si="333"/>
        <v>0</v>
      </c>
      <c r="T369" s="379">
        <f t="shared" si="334"/>
        <v>0</v>
      </c>
      <c r="U369" s="379">
        <f t="shared" si="335"/>
        <v>0</v>
      </c>
      <c r="V369" s="379">
        <f t="shared" si="336"/>
        <v>0</v>
      </c>
      <c r="W369" s="379">
        <f t="shared" si="337"/>
        <v>0</v>
      </c>
      <c r="X369" s="379">
        <f t="shared" si="338"/>
        <v>0</v>
      </c>
      <c r="Y369" s="379">
        <f t="shared" si="339"/>
        <v>0</v>
      </c>
      <c r="Z369" s="379">
        <f t="shared" si="340"/>
        <v>0</v>
      </c>
      <c r="AA369" s="379">
        <f t="shared" si="341"/>
        <v>0</v>
      </c>
      <c r="AB369" s="379">
        <f t="shared" si="342"/>
        <v>0</v>
      </c>
      <c r="AC369" s="379">
        <f t="shared" si="343"/>
        <v>0</v>
      </c>
      <c r="AD369" s="379">
        <f t="shared" si="344"/>
        <v>0</v>
      </c>
      <c r="AE369" s="379">
        <f t="shared" si="345"/>
        <v>0</v>
      </c>
      <c r="AF369" s="379">
        <f t="shared" si="346"/>
        <v>0</v>
      </c>
      <c r="AG369" s="379">
        <f t="shared" si="347"/>
        <v>0</v>
      </c>
      <c r="AH369" s="379">
        <f t="shared" si="348"/>
        <v>0</v>
      </c>
      <c r="AI369" s="379">
        <f t="shared" si="349"/>
        <v>0</v>
      </c>
      <c r="AJ369" s="379">
        <f t="shared" si="350"/>
        <v>0</v>
      </c>
      <c r="AK369" s="379">
        <f t="shared" si="351"/>
        <v>0</v>
      </c>
      <c r="AL369" s="379">
        <f t="shared" si="352"/>
        <v>0</v>
      </c>
      <c r="AM369" s="379">
        <f t="shared" si="353"/>
        <v>0</v>
      </c>
      <c r="AN369" s="490">
        <f t="shared" si="354"/>
        <v>0</v>
      </c>
      <c r="AO369" s="379">
        <f t="shared" si="355"/>
        <v>0</v>
      </c>
      <c r="AP369" s="379">
        <f t="shared" si="356"/>
        <v>0</v>
      </c>
      <c r="AQ369" s="379">
        <f t="shared" si="357"/>
        <v>0</v>
      </c>
      <c r="AR369" s="379">
        <f t="shared" si="358"/>
        <v>0</v>
      </c>
      <c r="AS369" s="379">
        <f t="shared" si="359"/>
        <v>0</v>
      </c>
      <c r="AT369" s="379">
        <f t="shared" si="360"/>
        <v>0</v>
      </c>
      <c r="AU369" s="379">
        <f t="shared" si="361"/>
        <v>0</v>
      </c>
      <c r="AV369" s="379">
        <f t="shared" si="362"/>
        <v>0</v>
      </c>
      <c r="AW369" s="379">
        <f t="shared" si="363"/>
        <v>0</v>
      </c>
      <c r="AX369" s="379">
        <f t="shared" si="364"/>
        <v>0</v>
      </c>
      <c r="AY369" s="379">
        <f t="shared" si="365"/>
        <v>0</v>
      </c>
    </row>
    <row r="370" spans="1:51" x14ac:dyDescent="0.2">
      <c r="A370" s="376">
        <v>15850</v>
      </c>
      <c r="B370" s="378" t="str">
        <f t="shared" si="318"/>
        <v>Narromine (A)</v>
      </c>
      <c r="C370" s="377" t="str">
        <f t="shared" si="319"/>
        <v>NetWaste</v>
      </c>
      <c r="D370" s="503" t="str">
        <f t="shared" si="320"/>
        <v>N</v>
      </c>
      <c r="E370" s="503"/>
      <c r="F370"/>
      <c r="G370" s="379">
        <f t="shared" si="321"/>
        <v>6796</v>
      </c>
      <c r="H370" s="379">
        <f t="shared" si="322"/>
        <v>2172</v>
      </c>
      <c r="I370" s="379">
        <f t="shared" si="323"/>
        <v>371</v>
      </c>
      <c r="J370" s="379" t="str">
        <f t="shared" si="324"/>
        <v>Y</v>
      </c>
      <c r="K370" s="379">
        <f t="shared" si="325"/>
        <v>2172</v>
      </c>
      <c r="L370" s="379">
        <f t="shared" si="326"/>
        <v>0</v>
      </c>
      <c r="M370" s="379">
        <f t="shared" si="327"/>
        <v>2049</v>
      </c>
      <c r="N370" s="379">
        <f t="shared" si="328"/>
        <v>0</v>
      </c>
      <c r="O370" s="379">
        <f t="shared" si="329"/>
        <v>0</v>
      </c>
      <c r="P370" s="379">
        <f t="shared" si="330"/>
        <v>0</v>
      </c>
      <c r="Q370" s="379" t="str">
        <f t="shared" si="331"/>
        <v>Y</v>
      </c>
      <c r="R370" s="379" t="str">
        <f t="shared" si="332"/>
        <v>Narromine Waste Facility</v>
      </c>
      <c r="S370" s="379">
        <f t="shared" si="333"/>
        <v>0</v>
      </c>
      <c r="T370" s="379">
        <f t="shared" si="334"/>
        <v>0</v>
      </c>
      <c r="U370" s="379">
        <f t="shared" si="335"/>
        <v>0</v>
      </c>
      <c r="V370" s="379">
        <f t="shared" si="336"/>
        <v>0</v>
      </c>
      <c r="W370" s="379">
        <f t="shared" si="337"/>
        <v>0</v>
      </c>
      <c r="X370" s="379">
        <f t="shared" si="338"/>
        <v>0</v>
      </c>
      <c r="Y370" s="379">
        <f t="shared" si="339"/>
        <v>0</v>
      </c>
      <c r="Z370" s="379">
        <f t="shared" si="340"/>
        <v>0</v>
      </c>
      <c r="AA370" s="379">
        <f t="shared" si="341"/>
        <v>0</v>
      </c>
      <c r="AB370" s="379">
        <f t="shared" si="342"/>
        <v>0</v>
      </c>
      <c r="AC370" s="379">
        <f t="shared" si="343"/>
        <v>0</v>
      </c>
      <c r="AD370" s="379">
        <f t="shared" si="344"/>
        <v>0</v>
      </c>
      <c r="AE370" s="379">
        <f t="shared" si="345"/>
        <v>0</v>
      </c>
      <c r="AF370" s="379">
        <f t="shared" si="346"/>
        <v>0</v>
      </c>
      <c r="AG370" s="379">
        <f t="shared" si="347"/>
        <v>0</v>
      </c>
      <c r="AH370" s="379">
        <f t="shared" si="348"/>
        <v>0</v>
      </c>
      <c r="AI370" s="379">
        <f t="shared" si="349"/>
        <v>0</v>
      </c>
      <c r="AJ370" s="379">
        <f t="shared" si="350"/>
        <v>0</v>
      </c>
      <c r="AK370" s="379">
        <f t="shared" si="351"/>
        <v>0</v>
      </c>
      <c r="AL370" s="379">
        <f t="shared" si="352"/>
        <v>0</v>
      </c>
      <c r="AM370" s="379">
        <f t="shared" si="353"/>
        <v>0</v>
      </c>
      <c r="AN370" s="490">
        <f t="shared" si="354"/>
        <v>0</v>
      </c>
      <c r="AO370" s="379">
        <f t="shared" si="355"/>
        <v>0</v>
      </c>
      <c r="AP370" s="379">
        <f t="shared" si="356"/>
        <v>0</v>
      </c>
      <c r="AQ370" s="379">
        <f t="shared" si="357"/>
        <v>0</v>
      </c>
      <c r="AR370" s="379">
        <f t="shared" si="358"/>
        <v>0</v>
      </c>
      <c r="AS370" s="379">
        <f t="shared" si="359"/>
        <v>0</v>
      </c>
      <c r="AT370" s="379">
        <f t="shared" si="360"/>
        <v>0</v>
      </c>
      <c r="AU370" s="379">
        <f t="shared" si="361"/>
        <v>0</v>
      </c>
      <c r="AV370" s="379">
        <f t="shared" si="362"/>
        <v>0</v>
      </c>
      <c r="AW370" s="379">
        <f t="shared" si="363"/>
        <v>0</v>
      </c>
      <c r="AX370" s="379">
        <f t="shared" si="364"/>
        <v>0</v>
      </c>
      <c r="AY370" s="379">
        <f t="shared" si="365"/>
        <v>0</v>
      </c>
    </row>
    <row r="371" spans="1:51" x14ac:dyDescent="0.2">
      <c r="A371" s="376">
        <v>16100</v>
      </c>
      <c r="B371" s="378" t="str">
        <f t="shared" si="318"/>
        <v>Oberon (A)</v>
      </c>
      <c r="C371" s="377" t="str">
        <f t="shared" si="319"/>
        <v>NetWaste</v>
      </c>
      <c r="D371" s="503" t="str">
        <f t="shared" si="320"/>
        <v>N</v>
      </c>
      <c r="E371" s="503"/>
      <c r="F371"/>
      <c r="G371" s="379">
        <f t="shared" si="321"/>
        <v>5350</v>
      </c>
      <c r="H371" s="379">
        <f t="shared" si="322"/>
        <v>3733</v>
      </c>
      <c r="I371" s="379">
        <f t="shared" si="323"/>
        <v>200</v>
      </c>
      <c r="J371" s="379" t="str">
        <f t="shared" si="324"/>
        <v>Y</v>
      </c>
      <c r="K371" s="379">
        <f t="shared" si="325"/>
        <v>1202</v>
      </c>
      <c r="L371" s="379">
        <f t="shared" si="326"/>
        <v>0</v>
      </c>
      <c r="M371" s="379">
        <f t="shared" si="327"/>
        <v>0</v>
      </c>
      <c r="N371" s="379">
        <f t="shared" si="328"/>
        <v>0</v>
      </c>
      <c r="O371" s="379">
        <f t="shared" si="329"/>
        <v>0</v>
      </c>
      <c r="P371" s="379" t="str">
        <f t="shared" si="330"/>
        <v>Y</v>
      </c>
      <c r="Q371" s="379" t="str">
        <f t="shared" si="331"/>
        <v>Y</v>
      </c>
      <c r="R371" s="379" t="str">
        <f t="shared" si="332"/>
        <v>Oberon Waste Depot</v>
      </c>
      <c r="S371" s="379" t="str">
        <f t="shared" si="333"/>
        <v>Burraga</v>
      </c>
      <c r="T371" s="379" t="str">
        <f t="shared" si="334"/>
        <v>Black Springs</v>
      </c>
      <c r="U371" s="379">
        <f t="shared" si="335"/>
        <v>0</v>
      </c>
      <c r="V371" s="379">
        <f t="shared" si="336"/>
        <v>0</v>
      </c>
      <c r="W371" s="379">
        <f t="shared" si="337"/>
        <v>0</v>
      </c>
      <c r="X371" s="379">
        <f t="shared" si="338"/>
        <v>0</v>
      </c>
      <c r="Y371" s="379">
        <f t="shared" si="339"/>
        <v>0</v>
      </c>
      <c r="Z371" s="379">
        <f t="shared" si="340"/>
        <v>0</v>
      </c>
      <c r="AA371" s="379">
        <f t="shared" si="341"/>
        <v>0</v>
      </c>
      <c r="AB371" s="379">
        <f t="shared" si="342"/>
        <v>0</v>
      </c>
      <c r="AC371" s="379">
        <f t="shared" si="343"/>
        <v>0</v>
      </c>
      <c r="AD371" s="379">
        <f t="shared" si="344"/>
        <v>0</v>
      </c>
      <c r="AE371" s="379">
        <f t="shared" si="345"/>
        <v>0</v>
      </c>
      <c r="AF371" s="379">
        <f t="shared" si="346"/>
        <v>0</v>
      </c>
      <c r="AG371" s="379">
        <f t="shared" si="347"/>
        <v>0</v>
      </c>
      <c r="AH371" s="379">
        <f t="shared" si="348"/>
        <v>0</v>
      </c>
      <c r="AI371" s="379">
        <f t="shared" si="349"/>
        <v>0</v>
      </c>
      <c r="AJ371" s="379">
        <f t="shared" si="350"/>
        <v>0</v>
      </c>
      <c r="AK371" s="379">
        <f t="shared" si="351"/>
        <v>0</v>
      </c>
      <c r="AL371" s="379">
        <f t="shared" si="352"/>
        <v>0</v>
      </c>
      <c r="AM371" s="379">
        <f t="shared" si="353"/>
        <v>0</v>
      </c>
      <c r="AN371" s="490">
        <f t="shared" si="354"/>
        <v>0</v>
      </c>
      <c r="AO371" s="379">
        <f t="shared" si="355"/>
        <v>0</v>
      </c>
      <c r="AP371" s="379">
        <f t="shared" si="356"/>
        <v>0</v>
      </c>
      <c r="AQ371" s="379">
        <f t="shared" si="357"/>
        <v>0</v>
      </c>
      <c r="AR371" s="379">
        <f t="shared" si="358"/>
        <v>0</v>
      </c>
      <c r="AS371" s="379">
        <f t="shared" si="359"/>
        <v>0</v>
      </c>
      <c r="AT371" s="379">
        <f t="shared" si="360"/>
        <v>0</v>
      </c>
      <c r="AU371" s="379">
        <f t="shared" si="361"/>
        <v>0</v>
      </c>
      <c r="AV371" s="379">
        <f t="shared" si="362"/>
        <v>0</v>
      </c>
      <c r="AW371" s="379">
        <f t="shared" si="363"/>
        <v>0</v>
      </c>
      <c r="AX371" s="379">
        <f t="shared" si="364"/>
        <v>0</v>
      </c>
      <c r="AY371" s="379">
        <f t="shared" si="365"/>
        <v>0</v>
      </c>
    </row>
    <row r="372" spans="1:51" x14ac:dyDescent="0.2">
      <c r="A372" s="376">
        <v>16150</v>
      </c>
      <c r="B372" s="378" t="str">
        <f t="shared" si="318"/>
        <v>Orange (C)</v>
      </c>
      <c r="C372" s="377" t="str">
        <f t="shared" si="319"/>
        <v>NetWaste</v>
      </c>
      <c r="D372" s="503" t="str">
        <f t="shared" si="320"/>
        <v>N</v>
      </c>
      <c r="E372" s="503"/>
      <c r="F372"/>
      <c r="G372" s="379">
        <f t="shared" si="321"/>
        <v>42356</v>
      </c>
      <c r="H372" s="379">
        <f t="shared" si="322"/>
        <v>18241</v>
      </c>
      <c r="I372" s="379">
        <f t="shared" si="323"/>
        <v>395.15</v>
      </c>
      <c r="J372" s="379" t="str">
        <f t="shared" si="324"/>
        <v>Y</v>
      </c>
      <c r="K372" s="379">
        <f t="shared" si="325"/>
        <v>16785</v>
      </c>
      <c r="L372" s="379">
        <f t="shared" si="326"/>
        <v>0</v>
      </c>
      <c r="M372" s="379">
        <f t="shared" si="327"/>
        <v>16721</v>
      </c>
      <c r="N372" s="379">
        <f t="shared" si="328"/>
        <v>0</v>
      </c>
      <c r="O372" s="379">
        <f t="shared" si="329"/>
        <v>16250</v>
      </c>
      <c r="P372" s="379" t="str">
        <f t="shared" si="330"/>
        <v>Y</v>
      </c>
      <c r="Q372" s="379" t="str">
        <f t="shared" si="331"/>
        <v>Y</v>
      </c>
      <c r="R372" s="379" t="str">
        <f t="shared" si="332"/>
        <v>Ophir Rd Resource Recovery Centre</v>
      </c>
      <c r="S372" s="379">
        <f t="shared" si="333"/>
        <v>0</v>
      </c>
      <c r="T372" s="379">
        <f t="shared" si="334"/>
        <v>0</v>
      </c>
      <c r="U372" s="379">
        <f t="shared" si="335"/>
        <v>0</v>
      </c>
      <c r="V372" s="379">
        <f t="shared" si="336"/>
        <v>0</v>
      </c>
      <c r="W372" s="379">
        <f t="shared" si="337"/>
        <v>0</v>
      </c>
      <c r="X372" s="379">
        <f t="shared" si="338"/>
        <v>0</v>
      </c>
      <c r="Y372" s="379">
        <f t="shared" si="339"/>
        <v>0</v>
      </c>
      <c r="Z372" s="379">
        <f t="shared" si="340"/>
        <v>0</v>
      </c>
      <c r="AA372" s="379">
        <f t="shared" si="341"/>
        <v>0</v>
      </c>
      <c r="AB372" s="379">
        <f t="shared" si="342"/>
        <v>0</v>
      </c>
      <c r="AC372" s="379">
        <f t="shared" si="343"/>
        <v>0</v>
      </c>
      <c r="AD372" s="379">
        <f t="shared" si="344"/>
        <v>0</v>
      </c>
      <c r="AE372" s="379">
        <f t="shared" si="345"/>
        <v>0</v>
      </c>
      <c r="AF372" s="379">
        <f t="shared" si="346"/>
        <v>0</v>
      </c>
      <c r="AG372" s="379">
        <f t="shared" si="347"/>
        <v>0</v>
      </c>
      <c r="AH372" s="379">
        <f t="shared" si="348"/>
        <v>0</v>
      </c>
      <c r="AI372" s="379">
        <f t="shared" si="349"/>
        <v>0</v>
      </c>
      <c r="AJ372" s="379">
        <f t="shared" si="350"/>
        <v>0</v>
      </c>
      <c r="AK372" s="379">
        <f t="shared" si="351"/>
        <v>0</v>
      </c>
      <c r="AL372" s="379">
        <f t="shared" si="352"/>
        <v>0</v>
      </c>
      <c r="AM372" s="379">
        <f t="shared" si="353"/>
        <v>0</v>
      </c>
      <c r="AN372" s="490">
        <f t="shared" si="354"/>
        <v>0</v>
      </c>
      <c r="AO372" s="379">
        <f t="shared" si="355"/>
        <v>0</v>
      </c>
      <c r="AP372" s="379">
        <f t="shared" si="356"/>
        <v>0</v>
      </c>
      <c r="AQ372" s="379">
        <f t="shared" si="357"/>
        <v>0</v>
      </c>
      <c r="AR372" s="379">
        <f t="shared" si="358"/>
        <v>0</v>
      </c>
      <c r="AS372" s="379">
        <f t="shared" si="359"/>
        <v>0</v>
      </c>
      <c r="AT372" s="379">
        <f t="shared" si="360"/>
        <v>0</v>
      </c>
      <c r="AU372" s="379">
        <f t="shared" si="361"/>
        <v>0</v>
      </c>
      <c r="AV372" s="379">
        <f t="shared" si="362"/>
        <v>0</v>
      </c>
      <c r="AW372" s="379">
        <f t="shared" si="363"/>
        <v>0</v>
      </c>
      <c r="AX372" s="379">
        <f t="shared" si="364"/>
        <v>0</v>
      </c>
      <c r="AY372" s="379">
        <f t="shared" si="365"/>
        <v>0</v>
      </c>
    </row>
    <row r="373" spans="1:51" x14ac:dyDescent="0.2">
      <c r="A373" s="376">
        <v>16200</v>
      </c>
      <c r="B373" s="378" t="str">
        <f t="shared" si="318"/>
        <v>Parkes (A)</v>
      </c>
      <c r="C373" s="377" t="str">
        <f t="shared" si="319"/>
        <v>NetWaste</v>
      </c>
      <c r="D373" s="503" t="str">
        <f t="shared" si="320"/>
        <v>N</v>
      </c>
      <c r="E373" s="503"/>
      <c r="F373"/>
      <c r="G373" s="379">
        <f t="shared" si="321"/>
        <v>15328</v>
      </c>
      <c r="H373" s="379">
        <f t="shared" si="322"/>
        <v>7500</v>
      </c>
      <c r="I373" s="379">
        <f t="shared" si="323"/>
        <v>380</v>
      </c>
      <c r="J373" s="379" t="str">
        <f t="shared" si="324"/>
        <v>Y</v>
      </c>
      <c r="K373" s="379">
        <f t="shared" si="325"/>
        <v>4989</v>
      </c>
      <c r="L373" s="379">
        <f t="shared" si="326"/>
        <v>0</v>
      </c>
      <c r="M373" s="379">
        <f t="shared" si="327"/>
        <v>4989</v>
      </c>
      <c r="N373" s="379">
        <f t="shared" si="328"/>
        <v>0</v>
      </c>
      <c r="O373" s="379">
        <f t="shared" si="329"/>
        <v>0</v>
      </c>
      <c r="P373" s="379" t="str">
        <f t="shared" si="330"/>
        <v>Y</v>
      </c>
      <c r="Q373" s="379" t="str">
        <f t="shared" si="331"/>
        <v>Y</v>
      </c>
      <c r="R373" s="379" t="str">
        <f t="shared" si="332"/>
        <v>Tullamore</v>
      </c>
      <c r="S373" s="379">
        <f t="shared" si="333"/>
        <v>0</v>
      </c>
      <c r="T373" s="379">
        <f t="shared" si="334"/>
        <v>0</v>
      </c>
      <c r="U373" s="379">
        <f t="shared" si="335"/>
        <v>0</v>
      </c>
      <c r="V373" s="379">
        <f t="shared" si="336"/>
        <v>0</v>
      </c>
      <c r="W373" s="379">
        <f t="shared" si="337"/>
        <v>0</v>
      </c>
      <c r="X373" s="379">
        <f t="shared" si="338"/>
        <v>0</v>
      </c>
      <c r="Y373" s="379">
        <f t="shared" si="339"/>
        <v>0</v>
      </c>
      <c r="Z373" s="379">
        <f t="shared" si="340"/>
        <v>0</v>
      </c>
      <c r="AA373" s="379">
        <f t="shared" si="341"/>
        <v>0</v>
      </c>
      <c r="AB373" s="379">
        <f t="shared" si="342"/>
        <v>0</v>
      </c>
      <c r="AC373" s="379">
        <f t="shared" si="343"/>
        <v>0</v>
      </c>
      <c r="AD373" s="379">
        <f t="shared" si="344"/>
        <v>0</v>
      </c>
      <c r="AE373" s="379">
        <f t="shared" si="345"/>
        <v>0</v>
      </c>
      <c r="AF373" s="379">
        <f t="shared" si="346"/>
        <v>0</v>
      </c>
      <c r="AG373" s="379">
        <f t="shared" si="347"/>
        <v>0</v>
      </c>
      <c r="AH373" s="379">
        <f t="shared" si="348"/>
        <v>0</v>
      </c>
      <c r="AI373" s="379">
        <f t="shared" si="349"/>
        <v>0</v>
      </c>
      <c r="AJ373" s="379">
        <f t="shared" si="350"/>
        <v>0</v>
      </c>
      <c r="AK373" s="379">
        <f t="shared" si="351"/>
        <v>0</v>
      </c>
      <c r="AL373" s="379">
        <f t="shared" si="352"/>
        <v>0</v>
      </c>
      <c r="AM373" s="379">
        <f t="shared" si="353"/>
        <v>0</v>
      </c>
      <c r="AN373" s="490">
        <f t="shared" si="354"/>
        <v>0</v>
      </c>
      <c r="AO373" s="379">
        <f t="shared" si="355"/>
        <v>0</v>
      </c>
      <c r="AP373" s="379">
        <f t="shared" si="356"/>
        <v>0</v>
      </c>
      <c r="AQ373" s="379">
        <f t="shared" si="357"/>
        <v>0</v>
      </c>
      <c r="AR373" s="379">
        <f t="shared" si="358"/>
        <v>0</v>
      </c>
      <c r="AS373" s="379">
        <f t="shared" si="359"/>
        <v>0</v>
      </c>
      <c r="AT373" s="379">
        <f t="shared" si="360"/>
        <v>0</v>
      </c>
      <c r="AU373" s="379">
        <f t="shared" si="361"/>
        <v>0</v>
      </c>
      <c r="AV373" s="379">
        <f t="shared" si="362"/>
        <v>0</v>
      </c>
      <c r="AW373" s="379">
        <f t="shared" si="363"/>
        <v>0</v>
      </c>
      <c r="AX373" s="379">
        <f t="shared" si="364"/>
        <v>0</v>
      </c>
      <c r="AY373" s="379">
        <f t="shared" si="365"/>
        <v>0</v>
      </c>
    </row>
    <row r="374" spans="1:51" x14ac:dyDescent="0.2">
      <c r="A374" s="376">
        <v>16380</v>
      </c>
      <c r="B374" s="378" t="str">
        <f t="shared" si="318"/>
        <v>Port Macquarie-Hastings (A)</v>
      </c>
      <c r="C374" s="377" t="str">
        <f t="shared" si="319"/>
        <v>MidWaste</v>
      </c>
      <c r="D374" s="503" t="str">
        <f t="shared" si="320"/>
        <v>R</v>
      </c>
      <c r="E374" s="503"/>
      <c r="F374"/>
      <c r="G374" s="379">
        <f t="shared" si="321"/>
        <v>78967</v>
      </c>
      <c r="H374" s="379">
        <f t="shared" si="322"/>
        <v>34204</v>
      </c>
      <c r="I374" s="379">
        <f t="shared" si="323"/>
        <v>425</v>
      </c>
      <c r="J374" s="379" t="str">
        <f t="shared" si="324"/>
        <v>Y</v>
      </c>
      <c r="K374" s="379">
        <f t="shared" si="325"/>
        <v>29476</v>
      </c>
      <c r="L374" s="379">
        <f t="shared" si="326"/>
        <v>0</v>
      </c>
      <c r="M374" s="379">
        <f t="shared" si="327"/>
        <v>30095</v>
      </c>
      <c r="N374" s="379">
        <f t="shared" si="328"/>
        <v>0</v>
      </c>
      <c r="O374" s="379">
        <f t="shared" si="329"/>
        <v>28599</v>
      </c>
      <c r="P374" s="379" t="str">
        <f t="shared" si="330"/>
        <v>Y</v>
      </c>
      <c r="Q374" s="379" t="str">
        <f t="shared" si="331"/>
        <v>Y</v>
      </c>
      <c r="R374" s="379" t="str">
        <f t="shared" si="332"/>
        <v>Cairncross Waste Management Facility</v>
      </c>
      <c r="S374" s="379" t="str">
        <f t="shared" si="333"/>
        <v>Port Macquarie Waste Management Facility (transfer station)</v>
      </c>
      <c r="T374" s="379" t="str">
        <f t="shared" si="334"/>
        <v>Wauchope Transfer station</v>
      </c>
      <c r="U374" s="379" t="str">
        <f t="shared" si="335"/>
        <v>Kew Transfer station</v>
      </c>
      <c r="V374" s="379" t="str">
        <f t="shared" si="336"/>
        <v>Dunbogan Landfill</v>
      </c>
      <c r="W374" s="379" t="str">
        <f t="shared" si="337"/>
        <v>Comboyne drop off</v>
      </c>
      <c r="X374" s="379">
        <f t="shared" si="338"/>
        <v>0</v>
      </c>
      <c r="Y374" s="379">
        <f t="shared" si="339"/>
        <v>0</v>
      </c>
      <c r="Z374" s="379">
        <f t="shared" si="340"/>
        <v>0</v>
      </c>
      <c r="AA374" s="379">
        <f t="shared" si="341"/>
        <v>0</v>
      </c>
      <c r="AB374" s="379">
        <f t="shared" si="342"/>
        <v>0</v>
      </c>
      <c r="AC374" s="379">
        <f t="shared" si="343"/>
        <v>0</v>
      </c>
      <c r="AD374" s="379">
        <f t="shared" si="344"/>
        <v>0</v>
      </c>
      <c r="AE374" s="379">
        <f t="shared" si="345"/>
        <v>0</v>
      </c>
      <c r="AF374" s="379">
        <f t="shared" si="346"/>
        <v>0</v>
      </c>
      <c r="AG374" s="379">
        <f t="shared" si="347"/>
        <v>0</v>
      </c>
      <c r="AH374" s="379">
        <f t="shared" si="348"/>
        <v>0</v>
      </c>
      <c r="AI374" s="379">
        <f t="shared" si="349"/>
        <v>0</v>
      </c>
      <c r="AJ374" s="379">
        <f t="shared" si="350"/>
        <v>0</v>
      </c>
      <c r="AK374" s="379">
        <f t="shared" si="351"/>
        <v>0</v>
      </c>
      <c r="AL374" s="379">
        <f t="shared" si="352"/>
        <v>0</v>
      </c>
      <c r="AM374" s="379">
        <f t="shared" si="353"/>
        <v>0</v>
      </c>
      <c r="AN374" s="490">
        <f t="shared" si="354"/>
        <v>0</v>
      </c>
      <c r="AO374" s="379">
        <f t="shared" si="355"/>
        <v>0</v>
      </c>
      <c r="AP374" s="379">
        <f t="shared" si="356"/>
        <v>0</v>
      </c>
      <c r="AQ374" s="379">
        <f t="shared" si="357"/>
        <v>0</v>
      </c>
      <c r="AR374" s="379">
        <f t="shared" si="358"/>
        <v>0</v>
      </c>
      <c r="AS374" s="379">
        <f t="shared" si="359"/>
        <v>0</v>
      </c>
      <c r="AT374" s="379">
        <f t="shared" si="360"/>
        <v>0</v>
      </c>
      <c r="AU374" s="379">
        <f t="shared" si="361"/>
        <v>0</v>
      </c>
      <c r="AV374" s="379">
        <f t="shared" si="362"/>
        <v>0</v>
      </c>
      <c r="AW374" s="379">
        <f t="shared" si="363"/>
        <v>0</v>
      </c>
      <c r="AX374" s="379">
        <f t="shared" si="364"/>
        <v>0</v>
      </c>
      <c r="AY374" s="379">
        <f t="shared" si="365"/>
        <v>0</v>
      </c>
    </row>
    <row r="375" spans="1:51" x14ac:dyDescent="0.2">
      <c r="A375" s="376">
        <v>16490</v>
      </c>
      <c r="B375" s="378" t="str">
        <f t="shared" ref="B375:B396" si="366">VLOOKUP($A375,$A$5:$L$133,2,FALSE)</f>
        <v>Queanbeyan-Palerang Regional (A)</v>
      </c>
      <c r="C375" s="377" t="str">
        <f t="shared" ref="C375:C396" si="367">VLOOKUP($A375,$A$5:$L$133,3,FALSE)</f>
        <v>CBRJO</v>
      </c>
      <c r="D375" s="503" t="str">
        <f t="shared" ref="D375:D396" si="368">VLOOKUP($A375,$A$5:$L$133,4,FALSE)</f>
        <v>N</v>
      </c>
      <c r="E375" s="503"/>
      <c r="F375"/>
      <c r="G375" s="379">
        <f t="shared" ref="G375:G396" si="369">VLOOKUP($A375,$A$5:$AY$132,7,FALSE)</f>
        <v>57334</v>
      </c>
      <c r="H375" s="379">
        <f t="shared" ref="H375:H396" si="370">VLOOKUP($A375,$A$5:$AY$132,8,FALSE)</f>
        <v>24271</v>
      </c>
      <c r="I375" s="379">
        <f t="shared" ref="I375:I396" si="371">VLOOKUP($A375,$A$5:$AY$132,9,FALSE)</f>
        <v>300</v>
      </c>
      <c r="J375" s="379" t="str">
        <f t="shared" ref="J375:J396" si="372">VLOOKUP($A375,$A$5:$AY$132,10,FALSE)</f>
        <v>Y</v>
      </c>
      <c r="K375" s="379">
        <f t="shared" ref="K375:K396" si="373">VLOOKUP($A375,$A$5:$AY$132,11,FALSE)</f>
        <v>19728</v>
      </c>
      <c r="L375" s="379">
        <f t="shared" ref="L375:L396" si="374">VLOOKUP($A375,$A$5:$AY$132,12,FALSE)</f>
        <v>0</v>
      </c>
      <c r="M375" s="379">
        <f t="shared" ref="M375:M396" si="375">VLOOKUP($A375,$A$4:$AY$132,13,FALSE)</f>
        <v>21709</v>
      </c>
      <c r="N375" s="379">
        <f t="shared" ref="N375:N396" si="376">VLOOKUP($A375,$A$4:$AY$132,14,FALSE)</f>
        <v>13947</v>
      </c>
      <c r="O375" s="379">
        <f t="shared" ref="O375:O396" si="377">VLOOKUP($A375,$A$4:$AY$132,15,FALSE)</f>
        <v>2082</v>
      </c>
      <c r="P375" s="379" t="str">
        <f t="shared" ref="P375:P396" si="378">VLOOKUP($A375,$A$4:$AY$132,16,FALSE)</f>
        <v>Y</v>
      </c>
      <c r="Q375" s="379" t="str">
        <f t="shared" ref="Q375:Q396" si="379">VLOOKUP($A375,$A$4:$AY$132,17,FALSE)</f>
        <v>Y</v>
      </c>
      <c r="R375" s="379" t="str">
        <f t="shared" ref="R375:R396" si="380">VLOOKUP($A375,$A$4:$AY$132,18,FALSE)</f>
        <v>Waste Minimisation Centre</v>
      </c>
      <c r="S375" s="379" t="str">
        <f t="shared" ref="S375:S396" si="381">VLOOKUP($A375,$A$4:$AY$132,19,FALSE)</f>
        <v>Bungendore Resource Recovery Centre</v>
      </c>
      <c r="T375" s="379" t="str">
        <f t="shared" ref="T375:T396" si="382">VLOOKUP($A375,$A$4:$AY$132,20,FALSE)</f>
        <v>Macs Reef Waste Transfer Station</v>
      </c>
      <c r="U375" s="379" t="str">
        <f t="shared" ref="U375:U396" si="383">VLOOKUP($A375,$A$4:$AY$132,21,FALSE)</f>
        <v>Braidwood Landfill</v>
      </c>
      <c r="V375" s="379" t="str">
        <f t="shared" ref="V375:V396" si="384">VLOOKUP($A375,$A$4:$AY$132,22,FALSE)</f>
        <v>Captains Flat Waste Transfer Station</v>
      </c>
      <c r="W375" s="379" t="str">
        <f t="shared" ref="W375:W396" si="385">VLOOKUP($A375,$A$4:$AY$132,23,FALSE)</f>
        <v>Nerriga Landfill</v>
      </c>
      <c r="X375" s="379">
        <f t="shared" ref="X375:X396" si="386">VLOOKUP($A375,$A$4:$AY$132,24,FALSE)</f>
        <v>0</v>
      </c>
      <c r="Y375" s="379">
        <f t="shared" ref="Y375:Y396" si="387">VLOOKUP($A375,$A$4:$AY$132,25,FALSE)</f>
        <v>0</v>
      </c>
      <c r="Z375" s="379">
        <f t="shared" ref="Z375:Z396" si="388">VLOOKUP($A375,$A$4:$AY$132,26,FALSE)</f>
        <v>0</v>
      </c>
      <c r="AA375" s="379">
        <f t="shared" ref="AA375:AA396" si="389">VLOOKUP($A375,$A$4:$AY$132,27,FALSE)</f>
        <v>0</v>
      </c>
      <c r="AB375" s="379">
        <f t="shared" ref="AB375:AB396" si="390">VLOOKUP($A375,$A$4:$AY$132,28,FALSE)</f>
        <v>0</v>
      </c>
      <c r="AC375" s="379">
        <f t="shared" ref="AC375:AC396" si="391">VLOOKUP($A375,$A$4:$AY$132,29,FALSE)</f>
        <v>0</v>
      </c>
      <c r="AD375" s="379">
        <f t="shared" ref="AD375:AD396" si="392">VLOOKUP($A375,$A$4:$AY$132,30,FALSE)</f>
        <v>0</v>
      </c>
      <c r="AE375" s="379">
        <f t="shared" ref="AE375:AE396" si="393">VLOOKUP($A375,$A$4:$AY$132,31,FALSE)</f>
        <v>0</v>
      </c>
      <c r="AF375" s="379">
        <f t="shared" ref="AF375:AF396" si="394">VLOOKUP($A375,$A$4:$AY$132,32,FALSE)</f>
        <v>0</v>
      </c>
      <c r="AG375" s="379">
        <f t="shared" ref="AG375:AG396" si="395">VLOOKUP($A375,$A$4:$AY$132,33,FALSE)</f>
        <v>0</v>
      </c>
      <c r="AH375" s="379">
        <f t="shared" ref="AH375:AH396" si="396">VLOOKUP($A375,$A$4:$AY$132,34,FALSE)</f>
        <v>0</v>
      </c>
      <c r="AI375" s="379">
        <f t="shared" ref="AI375:AI396" si="397">VLOOKUP($A375,$A$4:$AY$132,35,FALSE)</f>
        <v>0</v>
      </c>
      <c r="AJ375" s="379">
        <f t="shared" ref="AJ375:AJ396" si="398">VLOOKUP($A375,$A$4:$AY$132,36,FALSE)</f>
        <v>0</v>
      </c>
      <c r="AK375" s="379">
        <f t="shared" ref="AK375:AK396" si="399">VLOOKUP($A375,$A$4:$AY$132,37,FALSE)</f>
        <v>0</v>
      </c>
      <c r="AL375" s="379">
        <f t="shared" ref="AL375:AL396" si="400">VLOOKUP($A375,$A$4:$AY$132,38,FALSE)</f>
        <v>0</v>
      </c>
      <c r="AM375" s="379">
        <f t="shared" ref="AM375:AM396" si="401">VLOOKUP($A375,$A$4:$AY$132,39,FALSE)</f>
        <v>0</v>
      </c>
      <c r="AN375" s="490">
        <f t="shared" ref="AN375:AN396" si="402">VLOOKUP($A375,$A$4:$AY$132,40,FALSE)</f>
        <v>0</v>
      </c>
      <c r="AO375" s="379">
        <f t="shared" ref="AO375:AO396" si="403">VLOOKUP($A375,$A$4:$AY$132,41,FALSE)</f>
        <v>0</v>
      </c>
      <c r="AP375" s="379">
        <f t="shared" ref="AP375:AP396" si="404">VLOOKUP($A375,$A$4:$AY$132,42,FALSE)</f>
        <v>0</v>
      </c>
      <c r="AQ375" s="379">
        <f t="shared" ref="AQ375:AQ396" si="405">VLOOKUP($A375,$A$4:$AY$132,43,FALSE)</f>
        <v>0</v>
      </c>
      <c r="AR375" s="379">
        <f t="shared" ref="AR375:AR396" si="406">VLOOKUP($A375,$A$4:$AY$132,44,FALSE)</f>
        <v>0</v>
      </c>
      <c r="AS375" s="379">
        <f t="shared" ref="AS375:AS396" si="407">VLOOKUP($A375,$A$4:$AY$132,45,FALSE)</f>
        <v>0</v>
      </c>
      <c r="AT375" s="379">
        <f t="shared" ref="AT375:AT396" si="408">VLOOKUP($A375,$A$4:$AY$132,46,FALSE)</f>
        <v>0</v>
      </c>
      <c r="AU375" s="379">
        <f t="shared" ref="AU375:AU396" si="409">VLOOKUP($A375,$A$4:$AY$132,47,FALSE)</f>
        <v>0</v>
      </c>
      <c r="AV375" s="379">
        <f t="shared" ref="AV375:AV396" si="410">VLOOKUP($A375,$A$4:$AY$132,48,FALSE)</f>
        <v>0</v>
      </c>
      <c r="AW375" s="379">
        <f t="shared" ref="AW375:AW396" si="411">VLOOKUP($A375,$A$4:$AY$132,49,FALSE)</f>
        <v>0</v>
      </c>
      <c r="AX375" s="379">
        <f t="shared" ref="AX375:AX396" si="412">VLOOKUP($A375,$A$4:$AY$132,50,FALSE)</f>
        <v>0</v>
      </c>
      <c r="AY375" s="379">
        <f t="shared" ref="AY375:AY396" si="413">VLOOKUP($A375,$A$4:$AY$132,51,FALSE)</f>
        <v>0</v>
      </c>
    </row>
    <row r="376" spans="1:51" x14ac:dyDescent="0.2">
      <c r="A376" s="376">
        <v>16610</v>
      </c>
      <c r="B376" s="378" t="str">
        <f t="shared" si="366"/>
        <v>Richmond Valley (A)</v>
      </c>
      <c r="C376" s="377" t="str">
        <f t="shared" si="367"/>
        <v>NEWF</v>
      </c>
      <c r="D376" s="503" t="str">
        <f t="shared" si="368"/>
        <v>R</v>
      </c>
      <c r="E376" s="503"/>
      <c r="F376"/>
      <c r="G376" s="379">
        <f t="shared" si="369"/>
        <v>23426</v>
      </c>
      <c r="H376" s="379">
        <f t="shared" si="370"/>
        <v>9892</v>
      </c>
      <c r="I376" s="379">
        <f t="shared" si="371"/>
        <v>425</v>
      </c>
      <c r="J376" s="379" t="str">
        <f t="shared" si="372"/>
        <v>Y</v>
      </c>
      <c r="K376" s="379">
        <f t="shared" si="373"/>
        <v>7471</v>
      </c>
      <c r="L376" s="379">
        <f t="shared" si="374"/>
        <v>0</v>
      </c>
      <c r="M376" s="379">
        <f t="shared" si="375"/>
        <v>7482</v>
      </c>
      <c r="N376" s="379">
        <f t="shared" si="376"/>
        <v>0</v>
      </c>
      <c r="O376" s="379">
        <f t="shared" si="377"/>
        <v>7465</v>
      </c>
      <c r="P376" s="379" t="str">
        <f t="shared" si="378"/>
        <v>Y</v>
      </c>
      <c r="Q376" s="379" t="str">
        <f t="shared" si="379"/>
        <v>Y</v>
      </c>
      <c r="R376" s="379" t="str">
        <f t="shared" si="380"/>
        <v>Nammoona Waste Facility</v>
      </c>
      <c r="S376" s="379" t="str">
        <f t="shared" si="381"/>
        <v>Evans Head Transfer Station</v>
      </c>
      <c r="T376" s="379" t="str">
        <f t="shared" si="382"/>
        <v>Bora Ridge Transfer Station</v>
      </c>
      <c r="U376" s="379" t="str">
        <f t="shared" si="383"/>
        <v>Rappville Transfer Station</v>
      </c>
      <c r="V376" s="379">
        <f t="shared" si="384"/>
        <v>0</v>
      </c>
      <c r="W376" s="379">
        <f t="shared" si="385"/>
        <v>0</v>
      </c>
      <c r="X376" s="379">
        <f t="shared" si="386"/>
        <v>0</v>
      </c>
      <c r="Y376" s="379">
        <f t="shared" si="387"/>
        <v>0</v>
      </c>
      <c r="Z376" s="379">
        <f t="shared" si="388"/>
        <v>0</v>
      </c>
      <c r="AA376" s="379">
        <f t="shared" si="389"/>
        <v>0</v>
      </c>
      <c r="AB376" s="379">
        <f t="shared" si="390"/>
        <v>0</v>
      </c>
      <c r="AC376" s="379">
        <f t="shared" si="391"/>
        <v>0</v>
      </c>
      <c r="AD376" s="379">
        <f t="shared" si="392"/>
        <v>0</v>
      </c>
      <c r="AE376" s="379">
        <f t="shared" si="393"/>
        <v>0</v>
      </c>
      <c r="AF376" s="379">
        <f t="shared" si="394"/>
        <v>0</v>
      </c>
      <c r="AG376" s="379">
        <f t="shared" si="395"/>
        <v>0</v>
      </c>
      <c r="AH376" s="379">
        <f t="shared" si="396"/>
        <v>0</v>
      </c>
      <c r="AI376" s="379">
        <f t="shared" si="397"/>
        <v>0</v>
      </c>
      <c r="AJ376" s="379">
        <f t="shared" si="398"/>
        <v>0</v>
      </c>
      <c r="AK376" s="379">
        <f t="shared" si="399"/>
        <v>0</v>
      </c>
      <c r="AL376" s="379">
        <f t="shared" si="400"/>
        <v>0</v>
      </c>
      <c r="AM376" s="379">
        <f t="shared" si="401"/>
        <v>0</v>
      </c>
      <c r="AN376" s="490">
        <f t="shared" si="402"/>
        <v>0</v>
      </c>
      <c r="AO376" s="379">
        <f t="shared" si="403"/>
        <v>0</v>
      </c>
      <c r="AP376" s="379">
        <f t="shared" si="404"/>
        <v>0</v>
      </c>
      <c r="AQ376" s="379">
        <f t="shared" si="405"/>
        <v>0</v>
      </c>
      <c r="AR376" s="379">
        <f t="shared" si="406"/>
        <v>0</v>
      </c>
      <c r="AS376" s="379">
        <f t="shared" si="407"/>
        <v>0</v>
      </c>
      <c r="AT376" s="379">
        <f t="shared" si="408"/>
        <v>0</v>
      </c>
      <c r="AU376" s="379">
        <f t="shared" si="409"/>
        <v>0</v>
      </c>
      <c r="AV376" s="379">
        <f t="shared" si="410"/>
        <v>0</v>
      </c>
      <c r="AW376" s="379">
        <f t="shared" si="411"/>
        <v>0</v>
      </c>
      <c r="AX376" s="379">
        <f t="shared" si="412"/>
        <v>0</v>
      </c>
      <c r="AY376" s="379">
        <f t="shared" si="413"/>
        <v>0</v>
      </c>
    </row>
    <row r="377" spans="1:51" x14ac:dyDescent="0.2">
      <c r="A377" s="376">
        <v>17000</v>
      </c>
      <c r="B377" s="378" t="str">
        <f t="shared" si="366"/>
        <v>Singleton (A)</v>
      </c>
      <c r="C377" s="377" t="str">
        <f t="shared" si="367"/>
        <v>Hunter</v>
      </c>
      <c r="D377" s="503" t="str">
        <f t="shared" si="368"/>
        <v>R</v>
      </c>
      <c r="E377" s="503"/>
      <c r="F377"/>
      <c r="G377" s="379">
        <f t="shared" si="369"/>
        <v>24061</v>
      </c>
      <c r="H377" s="379">
        <f t="shared" si="370"/>
        <v>8082</v>
      </c>
      <c r="I377" s="379">
        <f t="shared" si="371"/>
        <v>460</v>
      </c>
      <c r="J377" s="379" t="str">
        <f t="shared" si="372"/>
        <v>Y</v>
      </c>
      <c r="K377" s="379">
        <f t="shared" si="373"/>
        <v>9003</v>
      </c>
      <c r="L377" s="379">
        <f t="shared" si="374"/>
        <v>0</v>
      </c>
      <c r="M377" s="379">
        <f t="shared" si="375"/>
        <v>8985</v>
      </c>
      <c r="N377" s="379">
        <f t="shared" si="376"/>
        <v>7182</v>
      </c>
      <c r="O377" s="379">
        <f t="shared" si="377"/>
        <v>0</v>
      </c>
      <c r="P377" s="379" t="str">
        <f t="shared" si="378"/>
        <v>Y</v>
      </c>
      <c r="Q377" s="379" t="str">
        <f t="shared" si="379"/>
        <v>Y</v>
      </c>
      <c r="R377" s="379" t="str">
        <f t="shared" si="380"/>
        <v>Singleton Waste Management Facility</v>
      </c>
      <c r="S377" s="379">
        <f t="shared" si="381"/>
        <v>0</v>
      </c>
      <c r="T377" s="379">
        <f t="shared" si="382"/>
        <v>0</v>
      </c>
      <c r="U377" s="379">
        <f t="shared" si="383"/>
        <v>0</v>
      </c>
      <c r="V377" s="379">
        <f t="shared" si="384"/>
        <v>0</v>
      </c>
      <c r="W377" s="379">
        <f t="shared" si="385"/>
        <v>0</v>
      </c>
      <c r="X377" s="379">
        <f t="shared" si="386"/>
        <v>0</v>
      </c>
      <c r="Y377" s="379">
        <f t="shared" si="387"/>
        <v>0</v>
      </c>
      <c r="Z377" s="379">
        <f t="shared" si="388"/>
        <v>0</v>
      </c>
      <c r="AA377" s="379">
        <f t="shared" si="389"/>
        <v>0</v>
      </c>
      <c r="AB377" s="379">
        <f t="shared" si="390"/>
        <v>0</v>
      </c>
      <c r="AC377" s="379">
        <f t="shared" si="391"/>
        <v>0</v>
      </c>
      <c r="AD377" s="379">
        <f t="shared" si="392"/>
        <v>0</v>
      </c>
      <c r="AE377" s="379">
        <f t="shared" si="393"/>
        <v>0</v>
      </c>
      <c r="AF377" s="379">
        <f t="shared" si="394"/>
        <v>0</v>
      </c>
      <c r="AG377" s="379">
        <f t="shared" si="395"/>
        <v>0</v>
      </c>
      <c r="AH377" s="379">
        <f t="shared" si="396"/>
        <v>0</v>
      </c>
      <c r="AI377" s="379">
        <f t="shared" si="397"/>
        <v>0</v>
      </c>
      <c r="AJ377" s="379">
        <f t="shared" si="398"/>
        <v>0</v>
      </c>
      <c r="AK377" s="379">
        <f t="shared" si="399"/>
        <v>0</v>
      </c>
      <c r="AL377" s="379">
        <f t="shared" si="400"/>
        <v>0</v>
      </c>
      <c r="AM377" s="379">
        <f t="shared" si="401"/>
        <v>0</v>
      </c>
      <c r="AN377" s="490">
        <f t="shared" si="402"/>
        <v>0</v>
      </c>
      <c r="AO377" s="379">
        <f t="shared" si="403"/>
        <v>0</v>
      </c>
      <c r="AP377" s="379">
        <f t="shared" si="404"/>
        <v>0</v>
      </c>
      <c r="AQ377" s="379">
        <f t="shared" si="405"/>
        <v>0</v>
      </c>
      <c r="AR377" s="379">
        <f t="shared" si="406"/>
        <v>0</v>
      </c>
      <c r="AS377" s="379">
        <f t="shared" si="407"/>
        <v>0</v>
      </c>
      <c r="AT377" s="379">
        <f t="shared" si="408"/>
        <v>0</v>
      </c>
      <c r="AU377" s="379">
        <f t="shared" si="409"/>
        <v>0</v>
      </c>
      <c r="AV377" s="379">
        <f t="shared" si="410"/>
        <v>0</v>
      </c>
      <c r="AW377" s="379">
        <f t="shared" si="411"/>
        <v>0</v>
      </c>
      <c r="AX377" s="379">
        <f t="shared" si="412"/>
        <v>0</v>
      </c>
      <c r="AY377" s="379">
        <f t="shared" si="413"/>
        <v>0</v>
      </c>
    </row>
    <row r="378" spans="1:51" x14ac:dyDescent="0.2">
      <c r="A378" s="376">
        <v>17040</v>
      </c>
      <c r="B378" s="378" t="str">
        <f t="shared" si="366"/>
        <v>Snowy Monaro Regional (A)</v>
      </c>
      <c r="C378" s="377" t="str">
        <f t="shared" si="367"/>
        <v>CBRJO</v>
      </c>
      <c r="D378" s="503" t="str">
        <f t="shared" si="368"/>
        <v>N</v>
      </c>
      <c r="E378" s="503"/>
      <c r="F378"/>
      <c r="G378" s="379">
        <f t="shared" si="369"/>
        <v>20880</v>
      </c>
      <c r="H378" s="379">
        <f t="shared" si="370"/>
        <v>8432</v>
      </c>
      <c r="I378" s="379">
        <f t="shared" si="371"/>
        <v>339</v>
      </c>
      <c r="J378" s="379" t="str">
        <f t="shared" si="372"/>
        <v>Y</v>
      </c>
      <c r="K378" s="379">
        <f t="shared" si="373"/>
        <v>4204</v>
      </c>
      <c r="L378" s="379">
        <f t="shared" si="374"/>
        <v>0</v>
      </c>
      <c r="M378" s="379">
        <f t="shared" si="375"/>
        <v>7364</v>
      </c>
      <c r="N378" s="379">
        <f t="shared" si="376"/>
        <v>0</v>
      </c>
      <c r="O378" s="379">
        <f t="shared" si="377"/>
        <v>3100</v>
      </c>
      <c r="P378" s="379">
        <f t="shared" si="378"/>
        <v>0</v>
      </c>
      <c r="Q378" s="379" t="str">
        <f t="shared" si="379"/>
        <v>Y</v>
      </c>
      <c r="R378" s="379" t="str">
        <f t="shared" si="380"/>
        <v>Bombala Waste Depot</v>
      </c>
      <c r="S378" s="379" t="str">
        <f t="shared" si="381"/>
        <v>Delegate Waste Depot</v>
      </c>
      <c r="T378" s="379" t="str">
        <f t="shared" si="382"/>
        <v>Cathcart Transfer Station</v>
      </c>
      <c r="U378" s="379" t="str">
        <f t="shared" si="383"/>
        <v>Jindabyne Regional Was</v>
      </c>
      <c r="V378" s="379" t="str">
        <f t="shared" si="384"/>
        <v>Adaminaby Landfill</v>
      </c>
      <c r="W378" s="379" t="str">
        <f t="shared" si="385"/>
        <v>Berridale Transfer Station</v>
      </c>
      <c r="X378" s="379">
        <f t="shared" si="386"/>
        <v>0</v>
      </c>
      <c r="Y378" s="379">
        <f t="shared" si="387"/>
        <v>0</v>
      </c>
      <c r="Z378" s="379">
        <f t="shared" si="388"/>
        <v>0</v>
      </c>
      <c r="AA378" s="379">
        <f t="shared" si="389"/>
        <v>0</v>
      </c>
      <c r="AB378" s="379">
        <f t="shared" si="390"/>
        <v>0</v>
      </c>
      <c r="AC378" s="379">
        <f t="shared" si="391"/>
        <v>0</v>
      </c>
      <c r="AD378" s="379">
        <f t="shared" si="392"/>
        <v>0</v>
      </c>
      <c r="AE378" s="379">
        <f t="shared" si="393"/>
        <v>0</v>
      </c>
      <c r="AF378" s="379">
        <f t="shared" si="394"/>
        <v>0</v>
      </c>
      <c r="AG378" s="379">
        <f t="shared" si="395"/>
        <v>0</v>
      </c>
      <c r="AH378" s="379">
        <f t="shared" si="396"/>
        <v>0</v>
      </c>
      <c r="AI378" s="379">
        <f t="shared" si="397"/>
        <v>0</v>
      </c>
      <c r="AJ378" s="379">
        <f t="shared" si="398"/>
        <v>0</v>
      </c>
      <c r="AK378" s="379">
        <f t="shared" si="399"/>
        <v>0</v>
      </c>
      <c r="AL378" s="379">
        <f t="shared" si="400"/>
        <v>0</v>
      </c>
      <c r="AM378" s="379">
        <f t="shared" si="401"/>
        <v>0</v>
      </c>
      <c r="AN378" s="490">
        <f t="shared" si="402"/>
        <v>0</v>
      </c>
      <c r="AO378" s="379">
        <f t="shared" si="403"/>
        <v>0</v>
      </c>
      <c r="AP378" s="379">
        <f t="shared" si="404"/>
        <v>0</v>
      </c>
      <c r="AQ378" s="379">
        <f t="shared" si="405"/>
        <v>0</v>
      </c>
      <c r="AR378" s="379">
        <f t="shared" si="406"/>
        <v>0</v>
      </c>
      <c r="AS378" s="379">
        <f t="shared" si="407"/>
        <v>0</v>
      </c>
      <c r="AT378" s="379">
        <f t="shared" si="408"/>
        <v>0</v>
      </c>
      <c r="AU378" s="379">
        <f t="shared" si="409"/>
        <v>0</v>
      </c>
      <c r="AV378" s="379">
        <f t="shared" si="410"/>
        <v>0</v>
      </c>
      <c r="AW378" s="379">
        <f t="shared" si="411"/>
        <v>0</v>
      </c>
      <c r="AX378" s="379">
        <f t="shared" si="412"/>
        <v>0</v>
      </c>
      <c r="AY378" s="379">
        <f t="shared" si="413"/>
        <v>0</v>
      </c>
    </row>
    <row r="379" spans="1:51" x14ac:dyDescent="0.2">
      <c r="A379" s="376">
        <v>17080</v>
      </c>
      <c r="B379" s="378" t="str">
        <f t="shared" si="366"/>
        <v>Snowy Valleys (A)</v>
      </c>
      <c r="C379" s="377" t="str">
        <f t="shared" si="367"/>
        <v>REROC</v>
      </c>
      <c r="D379" s="503" t="str">
        <f t="shared" si="368"/>
        <v>N</v>
      </c>
      <c r="E379" s="503"/>
      <c r="F379"/>
      <c r="G379" s="379">
        <f t="shared" si="369"/>
        <v>15013</v>
      </c>
      <c r="H379" s="379">
        <f t="shared" si="370"/>
        <v>5752</v>
      </c>
      <c r="I379" s="379">
        <f t="shared" si="371"/>
        <v>399</v>
      </c>
      <c r="J379" s="379" t="str">
        <f t="shared" si="372"/>
        <v>Y</v>
      </c>
      <c r="K379" s="379">
        <f t="shared" si="373"/>
        <v>5650</v>
      </c>
      <c r="L379" s="379">
        <f t="shared" si="374"/>
        <v>0</v>
      </c>
      <c r="M379" s="379">
        <f t="shared" si="375"/>
        <v>5678</v>
      </c>
      <c r="N379" s="379">
        <f t="shared" si="376"/>
        <v>0</v>
      </c>
      <c r="O379" s="379">
        <f t="shared" si="377"/>
        <v>0</v>
      </c>
      <c r="P379" s="379">
        <f t="shared" si="378"/>
        <v>0</v>
      </c>
      <c r="Q379" s="379" t="str">
        <f t="shared" si="379"/>
        <v>Y</v>
      </c>
      <c r="R379" s="379" t="str">
        <f t="shared" si="380"/>
        <v>Tumut</v>
      </c>
      <c r="S379" s="379" t="str">
        <f t="shared" si="381"/>
        <v>Adelong</v>
      </c>
      <c r="T379" s="379" t="str">
        <f t="shared" si="382"/>
        <v>Talbingo</v>
      </c>
      <c r="U379" s="379">
        <f t="shared" si="383"/>
        <v>0</v>
      </c>
      <c r="V379" s="379">
        <f t="shared" si="384"/>
        <v>0</v>
      </c>
      <c r="W379" s="379">
        <f t="shared" si="385"/>
        <v>0</v>
      </c>
      <c r="X379" s="379">
        <f t="shared" si="386"/>
        <v>0</v>
      </c>
      <c r="Y379" s="379">
        <f t="shared" si="387"/>
        <v>0</v>
      </c>
      <c r="Z379" s="379">
        <f t="shared" si="388"/>
        <v>0</v>
      </c>
      <c r="AA379" s="379">
        <f t="shared" si="389"/>
        <v>0</v>
      </c>
      <c r="AB379" s="379">
        <f t="shared" si="390"/>
        <v>0</v>
      </c>
      <c r="AC379" s="379">
        <f t="shared" si="391"/>
        <v>0</v>
      </c>
      <c r="AD379" s="379">
        <f t="shared" si="392"/>
        <v>0</v>
      </c>
      <c r="AE379" s="379">
        <f t="shared" si="393"/>
        <v>0</v>
      </c>
      <c r="AF379" s="379">
        <f t="shared" si="394"/>
        <v>0</v>
      </c>
      <c r="AG379" s="379">
        <f t="shared" si="395"/>
        <v>0</v>
      </c>
      <c r="AH379" s="379">
        <f t="shared" si="396"/>
        <v>0</v>
      </c>
      <c r="AI379" s="379">
        <f t="shared" si="397"/>
        <v>0</v>
      </c>
      <c r="AJ379" s="379">
        <f t="shared" si="398"/>
        <v>0</v>
      </c>
      <c r="AK379" s="379">
        <f t="shared" si="399"/>
        <v>0</v>
      </c>
      <c r="AL379" s="379">
        <f t="shared" si="400"/>
        <v>0</v>
      </c>
      <c r="AM379" s="379">
        <f t="shared" si="401"/>
        <v>0</v>
      </c>
      <c r="AN379" s="490">
        <f t="shared" si="402"/>
        <v>0</v>
      </c>
      <c r="AO379" s="379">
        <f t="shared" si="403"/>
        <v>0</v>
      </c>
      <c r="AP379" s="379">
        <f t="shared" si="404"/>
        <v>0</v>
      </c>
      <c r="AQ379" s="379">
        <f t="shared" si="405"/>
        <v>0</v>
      </c>
      <c r="AR379" s="379">
        <f t="shared" si="406"/>
        <v>0</v>
      </c>
      <c r="AS379" s="379">
        <f t="shared" si="407"/>
        <v>0</v>
      </c>
      <c r="AT379" s="379">
        <f t="shared" si="408"/>
        <v>0</v>
      </c>
      <c r="AU379" s="379">
        <f t="shared" si="409"/>
        <v>0</v>
      </c>
      <c r="AV379" s="379">
        <f t="shared" si="410"/>
        <v>0</v>
      </c>
      <c r="AW379" s="379">
        <f t="shared" si="411"/>
        <v>0</v>
      </c>
      <c r="AX379" s="379">
        <f t="shared" si="412"/>
        <v>0</v>
      </c>
      <c r="AY379" s="379">
        <f t="shared" si="413"/>
        <v>0</v>
      </c>
    </row>
    <row r="380" spans="1:51" x14ac:dyDescent="0.2">
      <c r="A380" s="376">
        <v>17310</v>
      </c>
      <c r="B380" s="378" t="str">
        <f t="shared" si="366"/>
        <v>Tamworth Regional (A)</v>
      </c>
      <c r="C380" s="377" t="str">
        <f t="shared" si="367"/>
        <v>NIRW</v>
      </c>
      <c r="D380" s="503" t="str">
        <f t="shared" si="368"/>
        <v>N</v>
      </c>
      <c r="E380" s="503"/>
      <c r="F380"/>
      <c r="G380" s="379">
        <f t="shared" si="369"/>
        <v>61800</v>
      </c>
      <c r="H380" s="379">
        <f t="shared" si="370"/>
        <v>23846</v>
      </c>
      <c r="I380" s="379">
        <f t="shared" si="371"/>
        <v>295</v>
      </c>
      <c r="J380" s="379" t="str">
        <f t="shared" si="372"/>
        <v>Y</v>
      </c>
      <c r="K380" s="379">
        <f t="shared" si="373"/>
        <v>25354</v>
      </c>
      <c r="L380" s="379">
        <f t="shared" si="374"/>
        <v>0</v>
      </c>
      <c r="M380" s="379">
        <f t="shared" si="375"/>
        <v>23846</v>
      </c>
      <c r="N380" s="379">
        <f t="shared" si="376"/>
        <v>22338</v>
      </c>
      <c r="O380" s="379">
        <f t="shared" si="377"/>
        <v>0</v>
      </c>
      <c r="P380" s="379" t="str">
        <f t="shared" si="378"/>
        <v>Y</v>
      </c>
      <c r="Q380" s="379" t="str">
        <f t="shared" si="379"/>
        <v>Y</v>
      </c>
      <c r="R380" s="379" t="str">
        <f t="shared" si="380"/>
        <v>Forest Road Waste Management Facility</v>
      </c>
      <c r="S380" s="379" t="str">
        <f t="shared" si="381"/>
        <v>Barraba Landfill</v>
      </c>
      <c r="T380" s="379" t="str">
        <f t="shared" si="382"/>
        <v>Duri Landfill</v>
      </c>
      <c r="U380" s="379" t="str">
        <f t="shared" si="383"/>
        <v>Manilla Landfill</v>
      </c>
      <c r="V380" s="379" t="str">
        <f t="shared" si="384"/>
        <v>Nundle Landfill</v>
      </c>
      <c r="W380" s="379" t="str">
        <f t="shared" si="385"/>
        <v>Kootingal, Niangala, Watsons Creek, Bendemeer, Dungowan</v>
      </c>
      <c r="X380" s="379">
        <f t="shared" si="386"/>
        <v>0</v>
      </c>
      <c r="Y380" s="379">
        <f t="shared" si="387"/>
        <v>0</v>
      </c>
      <c r="Z380" s="379">
        <f t="shared" si="388"/>
        <v>0</v>
      </c>
      <c r="AA380" s="379">
        <f t="shared" si="389"/>
        <v>0</v>
      </c>
      <c r="AB380" s="379">
        <f t="shared" si="390"/>
        <v>0</v>
      </c>
      <c r="AC380" s="379">
        <f t="shared" si="391"/>
        <v>0</v>
      </c>
      <c r="AD380" s="379">
        <f t="shared" si="392"/>
        <v>0</v>
      </c>
      <c r="AE380" s="379">
        <f t="shared" si="393"/>
        <v>0</v>
      </c>
      <c r="AF380" s="379">
        <f t="shared" si="394"/>
        <v>0</v>
      </c>
      <c r="AG380" s="379">
        <f t="shared" si="395"/>
        <v>0</v>
      </c>
      <c r="AH380" s="379">
        <f t="shared" si="396"/>
        <v>0</v>
      </c>
      <c r="AI380" s="379">
        <f t="shared" si="397"/>
        <v>0</v>
      </c>
      <c r="AJ380" s="379">
        <f t="shared" si="398"/>
        <v>0</v>
      </c>
      <c r="AK380" s="379">
        <f t="shared" si="399"/>
        <v>0</v>
      </c>
      <c r="AL380" s="379">
        <f t="shared" si="400"/>
        <v>0</v>
      </c>
      <c r="AM380" s="379">
        <f t="shared" si="401"/>
        <v>0</v>
      </c>
      <c r="AN380" s="490">
        <f t="shared" si="402"/>
        <v>0</v>
      </c>
      <c r="AO380" s="379">
        <f t="shared" si="403"/>
        <v>0</v>
      </c>
      <c r="AP380" s="379">
        <f t="shared" si="404"/>
        <v>0</v>
      </c>
      <c r="AQ380" s="379">
        <f t="shared" si="405"/>
        <v>0</v>
      </c>
      <c r="AR380" s="379">
        <f t="shared" si="406"/>
        <v>0</v>
      </c>
      <c r="AS380" s="379">
        <f t="shared" si="407"/>
        <v>0</v>
      </c>
      <c r="AT380" s="379">
        <f t="shared" si="408"/>
        <v>0</v>
      </c>
      <c r="AU380" s="379">
        <f t="shared" si="409"/>
        <v>0</v>
      </c>
      <c r="AV380" s="379">
        <f t="shared" si="410"/>
        <v>0</v>
      </c>
      <c r="AW380" s="379">
        <f t="shared" si="411"/>
        <v>0</v>
      </c>
      <c r="AX380" s="379">
        <f t="shared" si="412"/>
        <v>0</v>
      </c>
      <c r="AY380" s="379">
        <f t="shared" si="413"/>
        <v>0</v>
      </c>
    </row>
    <row r="381" spans="1:51" x14ac:dyDescent="0.2">
      <c r="A381" s="376">
        <v>17350</v>
      </c>
      <c r="B381" s="378" t="str">
        <f t="shared" si="366"/>
        <v>Temora (A)</v>
      </c>
      <c r="C381" s="377" t="str">
        <f t="shared" si="367"/>
        <v>REROC</v>
      </c>
      <c r="D381" s="503" t="str">
        <f t="shared" si="368"/>
        <v>N</v>
      </c>
      <c r="E381" s="503"/>
      <c r="F381"/>
      <c r="G381" s="379">
        <f t="shared" si="369"/>
        <v>6088</v>
      </c>
      <c r="H381" s="379">
        <f t="shared" si="370"/>
        <v>3689</v>
      </c>
      <c r="I381" s="379">
        <f t="shared" si="371"/>
        <v>212</v>
      </c>
      <c r="J381" s="379" t="str">
        <f t="shared" si="372"/>
        <v>Y</v>
      </c>
      <c r="K381" s="379">
        <f t="shared" si="373"/>
        <v>2198</v>
      </c>
      <c r="L381" s="379">
        <f t="shared" si="374"/>
        <v>0</v>
      </c>
      <c r="M381" s="379">
        <f t="shared" si="375"/>
        <v>0</v>
      </c>
      <c r="N381" s="379">
        <f t="shared" si="376"/>
        <v>0</v>
      </c>
      <c r="O381" s="379">
        <f t="shared" si="377"/>
        <v>0</v>
      </c>
      <c r="P381" s="379" t="str">
        <f t="shared" si="378"/>
        <v>Y</v>
      </c>
      <c r="Q381" s="379" t="str">
        <f t="shared" si="379"/>
        <v>Y</v>
      </c>
      <c r="R381" s="379" t="str">
        <f t="shared" si="380"/>
        <v>Teal St Landfill</v>
      </c>
      <c r="S381" s="379" t="str">
        <f t="shared" si="381"/>
        <v>Lions Club</v>
      </c>
      <c r="T381" s="379">
        <f t="shared" si="382"/>
        <v>0</v>
      </c>
      <c r="U381" s="379">
        <f t="shared" si="383"/>
        <v>0</v>
      </c>
      <c r="V381" s="379">
        <f t="shared" si="384"/>
        <v>0</v>
      </c>
      <c r="W381" s="379">
        <f t="shared" si="385"/>
        <v>0</v>
      </c>
      <c r="X381" s="379">
        <f t="shared" si="386"/>
        <v>0</v>
      </c>
      <c r="Y381" s="379">
        <f t="shared" si="387"/>
        <v>0</v>
      </c>
      <c r="Z381" s="379">
        <f t="shared" si="388"/>
        <v>0</v>
      </c>
      <c r="AA381" s="379">
        <f t="shared" si="389"/>
        <v>0</v>
      </c>
      <c r="AB381" s="379">
        <f t="shared" si="390"/>
        <v>0</v>
      </c>
      <c r="AC381" s="379">
        <f t="shared" si="391"/>
        <v>0</v>
      </c>
      <c r="AD381" s="379">
        <f t="shared" si="392"/>
        <v>0</v>
      </c>
      <c r="AE381" s="379">
        <f t="shared" si="393"/>
        <v>0</v>
      </c>
      <c r="AF381" s="379">
        <f t="shared" si="394"/>
        <v>0</v>
      </c>
      <c r="AG381" s="379">
        <f t="shared" si="395"/>
        <v>0</v>
      </c>
      <c r="AH381" s="379">
        <f t="shared" si="396"/>
        <v>0</v>
      </c>
      <c r="AI381" s="379">
        <f t="shared" si="397"/>
        <v>0</v>
      </c>
      <c r="AJ381" s="379">
        <f t="shared" si="398"/>
        <v>0</v>
      </c>
      <c r="AK381" s="379">
        <f t="shared" si="399"/>
        <v>0</v>
      </c>
      <c r="AL381" s="379">
        <f t="shared" si="400"/>
        <v>0</v>
      </c>
      <c r="AM381" s="379">
        <f t="shared" si="401"/>
        <v>0</v>
      </c>
      <c r="AN381" s="490">
        <f t="shared" si="402"/>
        <v>0</v>
      </c>
      <c r="AO381" s="379">
        <f t="shared" si="403"/>
        <v>0</v>
      </c>
      <c r="AP381" s="379">
        <f t="shared" si="404"/>
        <v>0</v>
      </c>
      <c r="AQ381" s="379">
        <f t="shared" si="405"/>
        <v>0</v>
      </c>
      <c r="AR381" s="379">
        <f t="shared" si="406"/>
        <v>0</v>
      </c>
      <c r="AS381" s="379">
        <f t="shared" si="407"/>
        <v>0</v>
      </c>
      <c r="AT381" s="379">
        <f t="shared" si="408"/>
        <v>0</v>
      </c>
      <c r="AU381" s="379">
        <f t="shared" si="409"/>
        <v>0</v>
      </c>
      <c r="AV381" s="379">
        <f t="shared" si="410"/>
        <v>0</v>
      </c>
      <c r="AW381" s="379">
        <f t="shared" si="411"/>
        <v>0</v>
      </c>
      <c r="AX381" s="379">
        <f t="shared" si="412"/>
        <v>0</v>
      </c>
      <c r="AY381" s="379">
        <f t="shared" si="413"/>
        <v>0</v>
      </c>
    </row>
    <row r="382" spans="1:51" x14ac:dyDescent="0.2">
      <c r="A382" s="376">
        <v>17400</v>
      </c>
      <c r="B382" s="378" t="str">
        <f t="shared" si="366"/>
        <v>Tenterfield (A)</v>
      </c>
      <c r="C382" s="377" t="str">
        <f t="shared" si="367"/>
        <v>NIRW</v>
      </c>
      <c r="D382" s="503" t="str">
        <f t="shared" si="368"/>
        <v>N</v>
      </c>
      <c r="E382" s="503"/>
      <c r="F382"/>
      <c r="G382" s="379">
        <f t="shared" si="369"/>
        <v>7038</v>
      </c>
      <c r="H382" s="379">
        <f t="shared" si="370"/>
        <v>4547</v>
      </c>
      <c r="I382" s="379">
        <f t="shared" si="371"/>
        <v>327</v>
      </c>
      <c r="J382" s="379" t="str">
        <f t="shared" si="372"/>
        <v>Y</v>
      </c>
      <c r="K382" s="379">
        <f t="shared" si="373"/>
        <v>2163</v>
      </c>
      <c r="L382" s="379">
        <f t="shared" si="374"/>
        <v>0</v>
      </c>
      <c r="M382" s="379">
        <f t="shared" si="375"/>
        <v>1934</v>
      </c>
      <c r="N382" s="379">
        <f t="shared" si="376"/>
        <v>0</v>
      </c>
      <c r="O382" s="379">
        <f t="shared" si="377"/>
        <v>0</v>
      </c>
      <c r="P382" s="379">
        <f t="shared" si="378"/>
        <v>0</v>
      </c>
      <c r="Q382" s="379" t="str">
        <f t="shared" si="379"/>
        <v>Y</v>
      </c>
      <c r="R382" s="379" t="str">
        <f t="shared" si="380"/>
        <v>Tenterfield WTS</v>
      </c>
      <c r="S382" s="379" t="str">
        <f t="shared" si="381"/>
        <v>Drake WTS</v>
      </c>
      <c r="T382" s="379" t="str">
        <f t="shared" si="382"/>
        <v>Urbenville WTS</v>
      </c>
      <c r="U382" s="379" t="str">
        <f t="shared" si="383"/>
        <v>Liston WTS</v>
      </c>
      <c r="V382" s="379" t="str">
        <f t="shared" si="384"/>
        <v>Legume WTS</v>
      </c>
      <c r="W382" s="379">
        <f t="shared" si="385"/>
        <v>0</v>
      </c>
      <c r="X382" s="379">
        <f t="shared" si="386"/>
        <v>0</v>
      </c>
      <c r="Y382" s="379">
        <f t="shared" si="387"/>
        <v>0</v>
      </c>
      <c r="Z382" s="379">
        <f t="shared" si="388"/>
        <v>0</v>
      </c>
      <c r="AA382" s="379">
        <f t="shared" si="389"/>
        <v>0</v>
      </c>
      <c r="AB382" s="379">
        <f t="shared" si="390"/>
        <v>0</v>
      </c>
      <c r="AC382" s="379">
        <f t="shared" si="391"/>
        <v>0</v>
      </c>
      <c r="AD382" s="379">
        <f t="shared" si="392"/>
        <v>0</v>
      </c>
      <c r="AE382" s="379">
        <f t="shared" si="393"/>
        <v>0</v>
      </c>
      <c r="AF382" s="379">
        <f t="shared" si="394"/>
        <v>0</v>
      </c>
      <c r="AG382" s="379">
        <f t="shared" si="395"/>
        <v>0</v>
      </c>
      <c r="AH382" s="379">
        <f t="shared" si="396"/>
        <v>0</v>
      </c>
      <c r="AI382" s="379">
        <f t="shared" si="397"/>
        <v>0</v>
      </c>
      <c r="AJ382" s="379">
        <f t="shared" si="398"/>
        <v>0</v>
      </c>
      <c r="AK382" s="379">
        <f t="shared" si="399"/>
        <v>0</v>
      </c>
      <c r="AL382" s="379">
        <f t="shared" si="400"/>
        <v>0</v>
      </c>
      <c r="AM382" s="379">
        <f t="shared" si="401"/>
        <v>0</v>
      </c>
      <c r="AN382" s="490">
        <f t="shared" si="402"/>
        <v>0</v>
      </c>
      <c r="AO382" s="379">
        <f t="shared" si="403"/>
        <v>0</v>
      </c>
      <c r="AP382" s="379">
        <f t="shared" si="404"/>
        <v>0</v>
      </c>
      <c r="AQ382" s="379">
        <f t="shared" si="405"/>
        <v>0</v>
      </c>
      <c r="AR382" s="379">
        <f t="shared" si="406"/>
        <v>0</v>
      </c>
      <c r="AS382" s="379">
        <f t="shared" si="407"/>
        <v>0</v>
      </c>
      <c r="AT382" s="379">
        <f t="shared" si="408"/>
        <v>0</v>
      </c>
      <c r="AU382" s="379">
        <f t="shared" si="409"/>
        <v>0</v>
      </c>
      <c r="AV382" s="379">
        <f t="shared" si="410"/>
        <v>0</v>
      </c>
      <c r="AW382" s="379">
        <f t="shared" si="411"/>
        <v>0</v>
      </c>
      <c r="AX382" s="379">
        <f t="shared" si="412"/>
        <v>0</v>
      </c>
      <c r="AY382" s="379">
        <f t="shared" si="413"/>
        <v>0</v>
      </c>
    </row>
    <row r="383" spans="1:51" x14ac:dyDescent="0.2">
      <c r="A383" s="376">
        <v>17550</v>
      </c>
      <c r="B383" s="378" t="str">
        <f t="shared" si="366"/>
        <v>Tweed (A)</v>
      </c>
      <c r="C383" s="377" t="str">
        <f t="shared" si="367"/>
        <v>NEWF</v>
      </c>
      <c r="D383" s="503" t="str">
        <f t="shared" si="368"/>
        <v>R</v>
      </c>
      <c r="E383" s="503"/>
      <c r="F383"/>
      <c r="G383" s="379">
        <f t="shared" si="369"/>
        <v>94011</v>
      </c>
      <c r="H383" s="379">
        <f t="shared" si="370"/>
        <v>36870</v>
      </c>
      <c r="I383" s="379">
        <f t="shared" si="371"/>
        <v>440.3</v>
      </c>
      <c r="J383" s="379" t="str">
        <f t="shared" si="372"/>
        <v>Y</v>
      </c>
      <c r="K383" s="379">
        <f t="shared" si="373"/>
        <v>34468</v>
      </c>
      <c r="L383" s="379">
        <f t="shared" si="374"/>
        <v>0</v>
      </c>
      <c r="M383" s="379">
        <f t="shared" si="375"/>
        <v>36242</v>
      </c>
      <c r="N383" s="379">
        <f t="shared" si="376"/>
        <v>17996</v>
      </c>
      <c r="O383" s="379">
        <f t="shared" si="377"/>
        <v>0</v>
      </c>
      <c r="P383" s="379" t="str">
        <f t="shared" si="378"/>
        <v>Y</v>
      </c>
      <c r="Q383" s="379" t="str">
        <f t="shared" si="379"/>
        <v>Y</v>
      </c>
      <c r="R383" s="379" t="str">
        <f t="shared" si="380"/>
        <v>Stotts Creek Resource Recovery Centre</v>
      </c>
      <c r="S383" s="379">
        <f t="shared" si="381"/>
        <v>0</v>
      </c>
      <c r="T383" s="379">
        <f t="shared" si="382"/>
        <v>0</v>
      </c>
      <c r="U383" s="379">
        <f t="shared" si="383"/>
        <v>0</v>
      </c>
      <c r="V383" s="379">
        <f t="shared" si="384"/>
        <v>0</v>
      </c>
      <c r="W383" s="379">
        <f t="shared" si="385"/>
        <v>0</v>
      </c>
      <c r="X383" s="379">
        <f t="shared" si="386"/>
        <v>0</v>
      </c>
      <c r="Y383" s="379">
        <f t="shared" si="387"/>
        <v>0</v>
      </c>
      <c r="Z383" s="379">
        <f t="shared" si="388"/>
        <v>0</v>
      </c>
      <c r="AA383" s="379">
        <f t="shared" si="389"/>
        <v>0</v>
      </c>
      <c r="AB383" s="379">
        <f t="shared" si="390"/>
        <v>0</v>
      </c>
      <c r="AC383" s="379">
        <f t="shared" si="391"/>
        <v>0</v>
      </c>
      <c r="AD383" s="379">
        <f t="shared" si="392"/>
        <v>0</v>
      </c>
      <c r="AE383" s="379">
        <f t="shared" si="393"/>
        <v>0</v>
      </c>
      <c r="AF383" s="379">
        <f t="shared" si="394"/>
        <v>0</v>
      </c>
      <c r="AG383" s="379">
        <f t="shared" si="395"/>
        <v>0</v>
      </c>
      <c r="AH383" s="379">
        <f t="shared" si="396"/>
        <v>0</v>
      </c>
      <c r="AI383" s="379">
        <f t="shared" si="397"/>
        <v>0</v>
      </c>
      <c r="AJ383" s="379">
        <f t="shared" si="398"/>
        <v>0</v>
      </c>
      <c r="AK383" s="379">
        <f t="shared" si="399"/>
        <v>0</v>
      </c>
      <c r="AL383" s="379">
        <f t="shared" si="400"/>
        <v>0</v>
      </c>
      <c r="AM383" s="379">
        <f t="shared" si="401"/>
        <v>0</v>
      </c>
      <c r="AN383" s="490">
        <f t="shared" si="402"/>
        <v>0</v>
      </c>
      <c r="AO383" s="379">
        <f t="shared" si="403"/>
        <v>0</v>
      </c>
      <c r="AP383" s="379">
        <f t="shared" si="404"/>
        <v>0</v>
      </c>
      <c r="AQ383" s="379">
        <f t="shared" si="405"/>
        <v>0</v>
      </c>
      <c r="AR383" s="379">
        <f t="shared" si="406"/>
        <v>0</v>
      </c>
      <c r="AS383" s="379">
        <f t="shared" si="407"/>
        <v>0</v>
      </c>
      <c r="AT383" s="379">
        <f t="shared" si="408"/>
        <v>0</v>
      </c>
      <c r="AU383" s="379">
        <f t="shared" si="409"/>
        <v>0</v>
      </c>
      <c r="AV383" s="379">
        <f t="shared" si="410"/>
        <v>0</v>
      </c>
      <c r="AW383" s="379">
        <f t="shared" si="411"/>
        <v>0</v>
      </c>
      <c r="AX383" s="379">
        <f t="shared" si="412"/>
        <v>0</v>
      </c>
      <c r="AY383" s="379">
        <f t="shared" si="413"/>
        <v>0</v>
      </c>
    </row>
    <row r="384" spans="1:51" x14ac:dyDescent="0.2">
      <c r="A384" s="376">
        <v>17620</v>
      </c>
      <c r="B384" s="378" t="str">
        <f t="shared" si="366"/>
        <v>Upper Hunter Shire (A)</v>
      </c>
      <c r="C384" s="377" t="str">
        <f t="shared" si="367"/>
        <v>Hunter</v>
      </c>
      <c r="D384" s="503" t="str">
        <f t="shared" si="368"/>
        <v>R</v>
      </c>
      <c r="E384" s="503"/>
      <c r="F384"/>
      <c r="G384" s="379">
        <f t="shared" si="369"/>
        <v>14522</v>
      </c>
      <c r="H384" s="379">
        <f t="shared" si="370"/>
        <v>4401</v>
      </c>
      <c r="I384" s="379">
        <f t="shared" si="371"/>
        <v>430.6</v>
      </c>
      <c r="J384" s="379" t="str">
        <f t="shared" si="372"/>
        <v>Y</v>
      </c>
      <c r="K384" s="379">
        <f t="shared" si="373"/>
        <v>4707</v>
      </c>
      <c r="L384" s="379">
        <f t="shared" si="374"/>
        <v>0</v>
      </c>
      <c r="M384" s="379">
        <f t="shared" si="375"/>
        <v>4707</v>
      </c>
      <c r="N384" s="379">
        <f t="shared" si="376"/>
        <v>0</v>
      </c>
      <c r="O384" s="379">
        <f t="shared" si="377"/>
        <v>0</v>
      </c>
      <c r="P384" s="379" t="str">
        <f t="shared" si="378"/>
        <v>Y</v>
      </c>
      <c r="Q384" s="379" t="str">
        <f t="shared" si="379"/>
        <v>Y</v>
      </c>
      <c r="R384" s="379" t="str">
        <f t="shared" si="380"/>
        <v>Scone</v>
      </c>
      <c r="S384" s="379" t="str">
        <f t="shared" si="381"/>
        <v>Aberdeen</v>
      </c>
      <c r="T384" s="379" t="str">
        <f t="shared" si="382"/>
        <v>Murrurundi</v>
      </c>
      <c r="U384" s="379" t="str">
        <f t="shared" si="383"/>
        <v>Merriwa</v>
      </c>
      <c r="V384" s="379">
        <f t="shared" si="384"/>
        <v>0</v>
      </c>
      <c r="W384" s="379">
        <f t="shared" si="385"/>
        <v>0</v>
      </c>
      <c r="X384" s="379">
        <f t="shared" si="386"/>
        <v>0</v>
      </c>
      <c r="Y384" s="379">
        <f t="shared" si="387"/>
        <v>0</v>
      </c>
      <c r="Z384" s="379">
        <f t="shared" si="388"/>
        <v>0</v>
      </c>
      <c r="AA384" s="379">
        <f t="shared" si="389"/>
        <v>0</v>
      </c>
      <c r="AB384" s="379">
        <f t="shared" si="390"/>
        <v>0</v>
      </c>
      <c r="AC384" s="379">
        <f t="shared" si="391"/>
        <v>0</v>
      </c>
      <c r="AD384" s="379">
        <f t="shared" si="392"/>
        <v>0</v>
      </c>
      <c r="AE384" s="379">
        <f t="shared" si="393"/>
        <v>0</v>
      </c>
      <c r="AF384" s="379">
        <f t="shared" si="394"/>
        <v>0</v>
      </c>
      <c r="AG384" s="379">
        <f t="shared" si="395"/>
        <v>0</v>
      </c>
      <c r="AH384" s="379">
        <f t="shared" si="396"/>
        <v>0</v>
      </c>
      <c r="AI384" s="379">
        <f t="shared" si="397"/>
        <v>0</v>
      </c>
      <c r="AJ384" s="379">
        <f t="shared" si="398"/>
        <v>0</v>
      </c>
      <c r="AK384" s="379">
        <f t="shared" si="399"/>
        <v>0</v>
      </c>
      <c r="AL384" s="379">
        <f t="shared" si="400"/>
        <v>0</v>
      </c>
      <c r="AM384" s="379">
        <f t="shared" si="401"/>
        <v>0</v>
      </c>
      <c r="AN384" s="490">
        <f t="shared" si="402"/>
        <v>0</v>
      </c>
      <c r="AO384" s="379">
        <f t="shared" si="403"/>
        <v>0</v>
      </c>
      <c r="AP384" s="379">
        <f t="shared" si="404"/>
        <v>0</v>
      </c>
      <c r="AQ384" s="379">
        <f t="shared" si="405"/>
        <v>0</v>
      </c>
      <c r="AR384" s="379">
        <f t="shared" si="406"/>
        <v>0</v>
      </c>
      <c r="AS384" s="379">
        <f t="shared" si="407"/>
        <v>0</v>
      </c>
      <c r="AT384" s="379">
        <f t="shared" si="408"/>
        <v>0</v>
      </c>
      <c r="AU384" s="379">
        <f t="shared" si="409"/>
        <v>0</v>
      </c>
      <c r="AV384" s="379">
        <f t="shared" si="410"/>
        <v>0</v>
      </c>
      <c r="AW384" s="379">
        <f t="shared" si="411"/>
        <v>0</v>
      </c>
      <c r="AX384" s="379">
        <f t="shared" si="412"/>
        <v>0</v>
      </c>
      <c r="AY384" s="379">
        <f t="shared" si="413"/>
        <v>0</v>
      </c>
    </row>
    <row r="385" spans="1:51" x14ac:dyDescent="0.2">
      <c r="A385" s="376">
        <v>17640</v>
      </c>
      <c r="B385" s="378" t="str">
        <f t="shared" si="366"/>
        <v>Upper Lachlan Shire (A)</v>
      </c>
      <c r="C385" s="377" t="str">
        <f t="shared" si="367"/>
        <v>CBRJO</v>
      </c>
      <c r="D385" s="503" t="str">
        <f t="shared" si="368"/>
        <v>N</v>
      </c>
      <c r="E385" s="503"/>
      <c r="F385"/>
      <c r="G385" s="379">
        <f t="shared" si="369"/>
        <v>7794</v>
      </c>
      <c r="H385" s="379">
        <f t="shared" si="370"/>
        <v>2440</v>
      </c>
      <c r="I385" s="379">
        <f t="shared" si="371"/>
        <v>417</v>
      </c>
      <c r="J385" s="379" t="str">
        <f t="shared" si="372"/>
        <v>Y</v>
      </c>
      <c r="K385" s="379">
        <f t="shared" si="373"/>
        <v>1995</v>
      </c>
      <c r="L385" s="379">
        <f t="shared" si="374"/>
        <v>0</v>
      </c>
      <c r="M385" s="379">
        <f t="shared" si="375"/>
        <v>1995</v>
      </c>
      <c r="N385" s="379">
        <f t="shared" si="376"/>
        <v>0</v>
      </c>
      <c r="O385" s="379">
        <f t="shared" si="377"/>
        <v>0</v>
      </c>
      <c r="P385" s="379">
        <f t="shared" si="378"/>
        <v>0</v>
      </c>
      <c r="Q385" s="379" t="str">
        <f t="shared" si="379"/>
        <v>Y</v>
      </c>
      <c r="R385" s="379" t="str">
        <f t="shared" si="380"/>
        <v>Crookwell Landfill</v>
      </c>
      <c r="S385" s="379" t="str">
        <f t="shared" si="381"/>
        <v>Gunning Landfill</v>
      </c>
      <c r="T385" s="379" t="str">
        <f t="shared" si="382"/>
        <v>Taralga Trasnfer Station</v>
      </c>
      <c r="U385" s="379" t="str">
        <f t="shared" si="383"/>
        <v>Collector Transfer Station</v>
      </c>
      <c r="V385" s="379" t="str">
        <f t="shared" si="384"/>
        <v>Bigga Landfill</v>
      </c>
      <c r="W385" s="379" t="str">
        <f t="shared" si="385"/>
        <v>Tuena Landfill</v>
      </c>
      <c r="X385" s="379">
        <f t="shared" si="386"/>
        <v>0</v>
      </c>
      <c r="Y385" s="379">
        <f t="shared" si="387"/>
        <v>0</v>
      </c>
      <c r="Z385" s="379">
        <f t="shared" si="388"/>
        <v>0</v>
      </c>
      <c r="AA385" s="379">
        <f t="shared" si="389"/>
        <v>0</v>
      </c>
      <c r="AB385" s="379">
        <f t="shared" si="390"/>
        <v>0</v>
      </c>
      <c r="AC385" s="379">
        <f t="shared" si="391"/>
        <v>0</v>
      </c>
      <c r="AD385" s="379">
        <f t="shared" si="392"/>
        <v>0</v>
      </c>
      <c r="AE385" s="379">
        <f t="shared" si="393"/>
        <v>0</v>
      </c>
      <c r="AF385" s="379">
        <f t="shared" si="394"/>
        <v>0</v>
      </c>
      <c r="AG385" s="379">
        <f t="shared" si="395"/>
        <v>0</v>
      </c>
      <c r="AH385" s="379">
        <f t="shared" si="396"/>
        <v>0</v>
      </c>
      <c r="AI385" s="379">
        <f t="shared" si="397"/>
        <v>0</v>
      </c>
      <c r="AJ385" s="379">
        <f t="shared" si="398"/>
        <v>0</v>
      </c>
      <c r="AK385" s="379">
        <f t="shared" si="399"/>
        <v>0</v>
      </c>
      <c r="AL385" s="379">
        <f t="shared" si="400"/>
        <v>0</v>
      </c>
      <c r="AM385" s="379">
        <f t="shared" si="401"/>
        <v>0</v>
      </c>
      <c r="AN385" s="490">
        <f t="shared" si="402"/>
        <v>0</v>
      </c>
      <c r="AO385" s="379">
        <f t="shared" si="403"/>
        <v>0</v>
      </c>
      <c r="AP385" s="379">
        <f t="shared" si="404"/>
        <v>0</v>
      </c>
      <c r="AQ385" s="379">
        <f t="shared" si="405"/>
        <v>0</v>
      </c>
      <c r="AR385" s="379">
        <f t="shared" si="406"/>
        <v>0</v>
      </c>
      <c r="AS385" s="379">
        <f t="shared" si="407"/>
        <v>0</v>
      </c>
      <c r="AT385" s="379">
        <f t="shared" si="408"/>
        <v>0</v>
      </c>
      <c r="AU385" s="379">
        <f t="shared" si="409"/>
        <v>0</v>
      </c>
      <c r="AV385" s="379">
        <f t="shared" si="410"/>
        <v>0</v>
      </c>
      <c r="AW385" s="379">
        <f t="shared" si="411"/>
        <v>0</v>
      </c>
      <c r="AX385" s="379">
        <f t="shared" si="412"/>
        <v>0</v>
      </c>
      <c r="AY385" s="379">
        <f t="shared" si="413"/>
        <v>0</v>
      </c>
    </row>
    <row r="386" spans="1:51" x14ac:dyDescent="0.2">
      <c r="A386" s="376">
        <v>17650</v>
      </c>
      <c r="B386" s="378" t="str">
        <f t="shared" si="366"/>
        <v>Uralla (A)</v>
      </c>
      <c r="C386" s="377" t="str">
        <f t="shared" si="367"/>
        <v>NIRW</v>
      </c>
      <c r="D386" s="503" t="str">
        <f t="shared" si="368"/>
        <v>N</v>
      </c>
      <c r="E386" s="503"/>
      <c r="F386"/>
      <c r="G386" s="379">
        <f t="shared" si="369"/>
        <v>6376</v>
      </c>
      <c r="H386" s="379">
        <f t="shared" si="370"/>
        <v>2780</v>
      </c>
      <c r="I386" s="379">
        <f t="shared" si="371"/>
        <v>315</v>
      </c>
      <c r="J386" s="379" t="str">
        <f t="shared" si="372"/>
        <v>Y</v>
      </c>
      <c r="K386" s="379">
        <f t="shared" si="373"/>
        <v>1701</v>
      </c>
      <c r="L386" s="379">
        <f t="shared" si="374"/>
        <v>0</v>
      </c>
      <c r="M386" s="379">
        <f t="shared" si="375"/>
        <v>1696</v>
      </c>
      <c r="N386" s="379">
        <f t="shared" si="376"/>
        <v>80</v>
      </c>
      <c r="O386" s="379">
        <f t="shared" si="377"/>
        <v>0</v>
      </c>
      <c r="P386" s="379">
        <f t="shared" si="378"/>
        <v>0</v>
      </c>
      <c r="Q386" s="379">
        <f t="shared" si="379"/>
        <v>0</v>
      </c>
      <c r="R386" s="379">
        <f t="shared" si="380"/>
        <v>0</v>
      </c>
      <c r="S386" s="379">
        <f t="shared" si="381"/>
        <v>0</v>
      </c>
      <c r="T386" s="379">
        <f t="shared" si="382"/>
        <v>0</v>
      </c>
      <c r="U386" s="379">
        <f t="shared" si="383"/>
        <v>0</v>
      </c>
      <c r="V386" s="379">
        <f t="shared" si="384"/>
        <v>0</v>
      </c>
      <c r="W386" s="379">
        <f t="shared" si="385"/>
        <v>0</v>
      </c>
      <c r="X386" s="379">
        <f t="shared" si="386"/>
        <v>0</v>
      </c>
      <c r="Y386" s="379">
        <f t="shared" si="387"/>
        <v>0</v>
      </c>
      <c r="Z386" s="379">
        <f t="shared" si="388"/>
        <v>0</v>
      </c>
      <c r="AA386" s="379">
        <f t="shared" si="389"/>
        <v>0</v>
      </c>
      <c r="AB386" s="379">
        <f t="shared" si="390"/>
        <v>0</v>
      </c>
      <c r="AC386" s="379">
        <f t="shared" si="391"/>
        <v>0</v>
      </c>
      <c r="AD386" s="379">
        <f t="shared" si="392"/>
        <v>0</v>
      </c>
      <c r="AE386" s="379">
        <f t="shared" si="393"/>
        <v>0</v>
      </c>
      <c r="AF386" s="379">
        <f t="shared" si="394"/>
        <v>0</v>
      </c>
      <c r="AG386" s="379">
        <f t="shared" si="395"/>
        <v>0</v>
      </c>
      <c r="AH386" s="379">
        <f t="shared" si="396"/>
        <v>0</v>
      </c>
      <c r="AI386" s="379">
        <f t="shared" si="397"/>
        <v>0</v>
      </c>
      <c r="AJ386" s="379">
        <f t="shared" si="398"/>
        <v>0</v>
      </c>
      <c r="AK386" s="379">
        <f t="shared" si="399"/>
        <v>0</v>
      </c>
      <c r="AL386" s="379">
        <f t="shared" si="400"/>
        <v>0</v>
      </c>
      <c r="AM386" s="379">
        <f t="shared" si="401"/>
        <v>0</v>
      </c>
      <c r="AN386" s="490">
        <f t="shared" si="402"/>
        <v>0</v>
      </c>
      <c r="AO386" s="379">
        <f t="shared" si="403"/>
        <v>0</v>
      </c>
      <c r="AP386" s="379">
        <f t="shared" si="404"/>
        <v>0</v>
      </c>
      <c r="AQ386" s="379">
        <f t="shared" si="405"/>
        <v>0</v>
      </c>
      <c r="AR386" s="379">
        <f t="shared" si="406"/>
        <v>0</v>
      </c>
      <c r="AS386" s="379">
        <f t="shared" si="407"/>
        <v>0</v>
      </c>
      <c r="AT386" s="379">
        <f t="shared" si="408"/>
        <v>0</v>
      </c>
      <c r="AU386" s="379">
        <f t="shared" si="409"/>
        <v>0</v>
      </c>
      <c r="AV386" s="379">
        <f t="shared" si="410"/>
        <v>0</v>
      </c>
      <c r="AW386" s="379">
        <f t="shared" si="411"/>
        <v>0</v>
      </c>
      <c r="AX386" s="379">
        <f t="shared" si="412"/>
        <v>0</v>
      </c>
      <c r="AY386" s="379">
        <f t="shared" si="413"/>
        <v>0</v>
      </c>
    </row>
    <row r="387" spans="1:51" x14ac:dyDescent="0.2">
      <c r="A387" s="376">
        <v>17750</v>
      </c>
      <c r="B387" s="378" t="str">
        <f t="shared" si="366"/>
        <v>Wagga Wagga (C)</v>
      </c>
      <c r="C387" s="377" t="str">
        <f t="shared" si="367"/>
        <v>REROC</v>
      </c>
      <c r="D387" s="503" t="str">
        <f t="shared" si="368"/>
        <v>N</v>
      </c>
      <c r="E387" s="503"/>
      <c r="F387"/>
      <c r="G387" s="379">
        <f t="shared" si="369"/>
        <v>64272</v>
      </c>
      <c r="H387" s="379">
        <f t="shared" si="370"/>
        <v>24260</v>
      </c>
      <c r="I387" s="379">
        <f t="shared" si="371"/>
        <v>303</v>
      </c>
      <c r="J387" s="379" t="str">
        <f t="shared" si="372"/>
        <v>Y</v>
      </c>
      <c r="K387" s="379">
        <f t="shared" si="373"/>
        <v>24260</v>
      </c>
      <c r="L387" s="379">
        <f t="shared" si="374"/>
        <v>0</v>
      </c>
      <c r="M387" s="379">
        <f t="shared" si="375"/>
        <v>24283</v>
      </c>
      <c r="N387" s="379">
        <f t="shared" si="376"/>
        <v>23503</v>
      </c>
      <c r="O387" s="379">
        <f t="shared" si="377"/>
        <v>0</v>
      </c>
      <c r="P387" s="379">
        <f t="shared" si="378"/>
        <v>0</v>
      </c>
      <c r="Q387" s="379" t="str">
        <f t="shared" si="379"/>
        <v>Y</v>
      </c>
      <c r="R387" s="379" t="str">
        <f t="shared" si="380"/>
        <v>Gregadoo Waste Management Centre</v>
      </c>
      <c r="S387" s="379" t="str">
        <f t="shared" si="381"/>
        <v xml:space="preserve">Transfer stations </v>
      </c>
      <c r="T387" s="379">
        <f t="shared" si="382"/>
        <v>0</v>
      </c>
      <c r="U387" s="379">
        <f t="shared" si="383"/>
        <v>0</v>
      </c>
      <c r="V387" s="379">
        <f t="shared" si="384"/>
        <v>0</v>
      </c>
      <c r="W387" s="379">
        <f t="shared" si="385"/>
        <v>0</v>
      </c>
      <c r="X387" s="379">
        <f t="shared" si="386"/>
        <v>0</v>
      </c>
      <c r="Y387" s="379">
        <f t="shared" si="387"/>
        <v>0</v>
      </c>
      <c r="Z387" s="379">
        <f t="shared" si="388"/>
        <v>0</v>
      </c>
      <c r="AA387" s="379">
        <f t="shared" si="389"/>
        <v>0</v>
      </c>
      <c r="AB387" s="379">
        <f t="shared" si="390"/>
        <v>0</v>
      </c>
      <c r="AC387" s="379">
        <f t="shared" si="391"/>
        <v>0</v>
      </c>
      <c r="AD387" s="379">
        <f t="shared" si="392"/>
        <v>0</v>
      </c>
      <c r="AE387" s="379">
        <f t="shared" si="393"/>
        <v>0</v>
      </c>
      <c r="AF387" s="379">
        <f t="shared" si="394"/>
        <v>0</v>
      </c>
      <c r="AG387" s="379">
        <f t="shared" si="395"/>
        <v>0</v>
      </c>
      <c r="AH387" s="379">
        <f t="shared" si="396"/>
        <v>0</v>
      </c>
      <c r="AI387" s="379">
        <f t="shared" si="397"/>
        <v>0</v>
      </c>
      <c r="AJ387" s="379">
        <f t="shared" si="398"/>
        <v>0</v>
      </c>
      <c r="AK387" s="379">
        <f t="shared" si="399"/>
        <v>0</v>
      </c>
      <c r="AL387" s="379">
        <f t="shared" si="400"/>
        <v>0</v>
      </c>
      <c r="AM387" s="379">
        <f t="shared" si="401"/>
        <v>0</v>
      </c>
      <c r="AN387" s="490">
        <f t="shared" si="402"/>
        <v>0</v>
      </c>
      <c r="AO387" s="379">
        <f t="shared" si="403"/>
        <v>0</v>
      </c>
      <c r="AP387" s="379">
        <f t="shared" si="404"/>
        <v>0</v>
      </c>
      <c r="AQ387" s="379">
        <f t="shared" si="405"/>
        <v>0</v>
      </c>
      <c r="AR387" s="379">
        <f t="shared" si="406"/>
        <v>0</v>
      </c>
      <c r="AS387" s="379">
        <f t="shared" si="407"/>
        <v>0</v>
      </c>
      <c r="AT387" s="379">
        <f t="shared" si="408"/>
        <v>0</v>
      </c>
      <c r="AU387" s="379">
        <f t="shared" si="409"/>
        <v>0</v>
      </c>
      <c r="AV387" s="379">
        <f t="shared" si="410"/>
        <v>0</v>
      </c>
      <c r="AW387" s="379">
        <f t="shared" si="411"/>
        <v>0</v>
      </c>
      <c r="AX387" s="379">
        <f t="shared" si="412"/>
        <v>0</v>
      </c>
      <c r="AY387" s="379">
        <f t="shared" si="413"/>
        <v>0</v>
      </c>
    </row>
    <row r="388" spans="1:51" x14ac:dyDescent="0.2">
      <c r="A388" s="376">
        <v>17850</v>
      </c>
      <c r="B388" s="378" t="str">
        <f t="shared" si="366"/>
        <v>Walcha (A)</v>
      </c>
      <c r="C388" s="377" t="str">
        <f t="shared" si="367"/>
        <v>NIRW</v>
      </c>
      <c r="D388" s="503" t="str">
        <f t="shared" si="368"/>
        <v>N</v>
      </c>
      <c r="E388" s="503"/>
      <c r="F388"/>
      <c r="G388" s="379">
        <f t="shared" si="369"/>
        <v>3054</v>
      </c>
      <c r="H388" s="379">
        <f t="shared" si="370"/>
        <v>741</v>
      </c>
      <c r="I388" s="379">
        <f t="shared" si="371"/>
        <v>474</v>
      </c>
      <c r="J388" s="379" t="str">
        <f t="shared" si="372"/>
        <v>Y</v>
      </c>
      <c r="K388" s="379">
        <f t="shared" si="373"/>
        <v>741</v>
      </c>
      <c r="L388" s="379">
        <f t="shared" si="374"/>
        <v>0</v>
      </c>
      <c r="M388" s="379">
        <f t="shared" si="375"/>
        <v>741</v>
      </c>
      <c r="N388" s="379">
        <f t="shared" si="376"/>
        <v>741</v>
      </c>
      <c r="O388" s="379">
        <f t="shared" si="377"/>
        <v>0</v>
      </c>
      <c r="P388" s="379">
        <f t="shared" si="378"/>
        <v>0</v>
      </c>
      <c r="Q388" s="379" t="str">
        <f t="shared" si="379"/>
        <v>Y</v>
      </c>
      <c r="R388" s="379" t="str">
        <f t="shared" si="380"/>
        <v>Walcha Waste Depot</v>
      </c>
      <c r="S388" s="379" t="str">
        <f t="shared" si="381"/>
        <v>Woolbrook Landfill</v>
      </c>
      <c r="T388" s="379" t="str">
        <f t="shared" si="382"/>
        <v>Nowendoc Landfill</v>
      </c>
      <c r="U388" s="379">
        <f t="shared" si="383"/>
        <v>0</v>
      </c>
      <c r="V388" s="379">
        <f t="shared" si="384"/>
        <v>0</v>
      </c>
      <c r="W388" s="379">
        <f t="shared" si="385"/>
        <v>0</v>
      </c>
      <c r="X388" s="379">
        <f t="shared" si="386"/>
        <v>0</v>
      </c>
      <c r="Y388" s="379">
        <f t="shared" si="387"/>
        <v>0</v>
      </c>
      <c r="Z388" s="379">
        <f t="shared" si="388"/>
        <v>0</v>
      </c>
      <c r="AA388" s="379">
        <f t="shared" si="389"/>
        <v>0</v>
      </c>
      <c r="AB388" s="379">
        <f t="shared" si="390"/>
        <v>0</v>
      </c>
      <c r="AC388" s="379">
        <f t="shared" si="391"/>
        <v>0</v>
      </c>
      <c r="AD388" s="379">
        <f t="shared" si="392"/>
        <v>0</v>
      </c>
      <c r="AE388" s="379">
        <f t="shared" si="393"/>
        <v>0</v>
      </c>
      <c r="AF388" s="379">
        <f t="shared" si="394"/>
        <v>0</v>
      </c>
      <c r="AG388" s="379">
        <f t="shared" si="395"/>
        <v>0</v>
      </c>
      <c r="AH388" s="379">
        <f t="shared" si="396"/>
        <v>0</v>
      </c>
      <c r="AI388" s="379">
        <f t="shared" si="397"/>
        <v>0</v>
      </c>
      <c r="AJ388" s="379">
        <f t="shared" si="398"/>
        <v>0</v>
      </c>
      <c r="AK388" s="379">
        <f t="shared" si="399"/>
        <v>0</v>
      </c>
      <c r="AL388" s="379">
        <f t="shared" si="400"/>
        <v>0</v>
      </c>
      <c r="AM388" s="379">
        <f t="shared" si="401"/>
        <v>0</v>
      </c>
      <c r="AN388" s="490">
        <f t="shared" si="402"/>
        <v>0</v>
      </c>
      <c r="AO388" s="379">
        <f t="shared" si="403"/>
        <v>0</v>
      </c>
      <c r="AP388" s="379">
        <f t="shared" si="404"/>
        <v>0</v>
      </c>
      <c r="AQ388" s="379">
        <f t="shared" si="405"/>
        <v>0</v>
      </c>
      <c r="AR388" s="379">
        <f t="shared" si="406"/>
        <v>0</v>
      </c>
      <c r="AS388" s="379">
        <f t="shared" si="407"/>
        <v>0</v>
      </c>
      <c r="AT388" s="379">
        <f t="shared" si="408"/>
        <v>0</v>
      </c>
      <c r="AU388" s="379">
        <f t="shared" si="409"/>
        <v>0</v>
      </c>
      <c r="AV388" s="379">
        <f t="shared" si="410"/>
        <v>0</v>
      </c>
      <c r="AW388" s="379">
        <f t="shared" si="411"/>
        <v>0</v>
      </c>
      <c r="AX388" s="379">
        <f t="shared" si="412"/>
        <v>0</v>
      </c>
      <c r="AY388" s="379">
        <f t="shared" si="413"/>
        <v>0</v>
      </c>
    </row>
    <row r="389" spans="1:51" x14ac:dyDescent="0.2">
      <c r="A389" s="376">
        <v>17900</v>
      </c>
      <c r="B389" s="378" t="str">
        <f t="shared" si="366"/>
        <v>Walgett (A)</v>
      </c>
      <c r="C389" s="377" t="str">
        <f t="shared" si="367"/>
        <v>NetWaste</v>
      </c>
      <c r="D389" s="503" t="str">
        <f t="shared" si="368"/>
        <v>N</v>
      </c>
      <c r="E389" s="503"/>
      <c r="F389"/>
      <c r="G389" s="379">
        <f t="shared" si="369"/>
        <v>6750</v>
      </c>
      <c r="H389" s="379">
        <f t="shared" si="370"/>
        <v>3634</v>
      </c>
      <c r="I389" s="379">
        <f t="shared" si="371"/>
        <v>461</v>
      </c>
      <c r="J389" s="379" t="str">
        <f t="shared" si="372"/>
        <v>Y</v>
      </c>
      <c r="K389" s="379">
        <f t="shared" si="373"/>
        <v>3634</v>
      </c>
      <c r="L389" s="379">
        <f t="shared" si="374"/>
        <v>0</v>
      </c>
      <c r="M389" s="379">
        <f t="shared" si="375"/>
        <v>0</v>
      </c>
      <c r="N389" s="379">
        <f t="shared" si="376"/>
        <v>0</v>
      </c>
      <c r="O389" s="379">
        <f t="shared" si="377"/>
        <v>0</v>
      </c>
      <c r="P389" s="379">
        <f t="shared" si="378"/>
        <v>0</v>
      </c>
      <c r="Q389" s="379" t="str">
        <f t="shared" si="379"/>
        <v>Y</v>
      </c>
      <c r="R389" s="379" t="str">
        <f t="shared" si="380"/>
        <v>Walgett Landfill</v>
      </c>
      <c r="S389" s="379" t="str">
        <f t="shared" si="381"/>
        <v>Lightning Ridge Landfill</v>
      </c>
      <c r="T389" s="379" t="str">
        <f t="shared" si="382"/>
        <v>Collarenebri Landfll</v>
      </c>
      <c r="U389" s="379" t="str">
        <f t="shared" si="383"/>
        <v>Carinda Landfill</v>
      </c>
      <c r="V389" s="379" t="str">
        <f t="shared" si="384"/>
        <v>Rowena Landfill</v>
      </c>
      <c r="W389" s="379" t="str">
        <f t="shared" si="385"/>
        <v>other</v>
      </c>
      <c r="X389" s="379">
        <f t="shared" si="386"/>
        <v>0</v>
      </c>
      <c r="Y389" s="379">
        <f t="shared" si="387"/>
        <v>0</v>
      </c>
      <c r="Z389" s="379">
        <f t="shared" si="388"/>
        <v>0</v>
      </c>
      <c r="AA389" s="379">
        <f t="shared" si="389"/>
        <v>0</v>
      </c>
      <c r="AB389" s="379">
        <f t="shared" si="390"/>
        <v>0</v>
      </c>
      <c r="AC389" s="379">
        <f t="shared" si="391"/>
        <v>0</v>
      </c>
      <c r="AD389" s="379">
        <f t="shared" si="392"/>
        <v>0</v>
      </c>
      <c r="AE389" s="379">
        <f t="shared" si="393"/>
        <v>0</v>
      </c>
      <c r="AF389" s="379">
        <f t="shared" si="394"/>
        <v>0</v>
      </c>
      <c r="AG389" s="379">
        <f t="shared" si="395"/>
        <v>0</v>
      </c>
      <c r="AH389" s="379">
        <f t="shared" si="396"/>
        <v>0</v>
      </c>
      <c r="AI389" s="379">
        <f t="shared" si="397"/>
        <v>0</v>
      </c>
      <c r="AJ389" s="379">
        <f t="shared" si="398"/>
        <v>0</v>
      </c>
      <c r="AK389" s="379">
        <f t="shared" si="399"/>
        <v>0</v>
      </c>
      <c r="AL389" s="379">
        <f t="shared" si="400"/>
        <v>0</v>
      </c>
      <c r="AM389" s="379">
        <f t="shared" si="401"/>
        <v>0</v>
      </c>
      <c r="AN389" s="490">
        <f t="shared" si="402"/>
        <v>0</v>
      </c>
      <c r="AO389" s="379">
        <f t="shared" si="403"/>
        <v>0</v>
      </c>
      <c r="AP389" s="379">
        <f t="shared" si="404"/>
        <v>0</v>
      </c>
      <c r="AQ389" s="379">
        <f t="shared" si="405"/>
        <v>0</v>
      </c>
      <c r="AR389" s="379">
        <f t="shared" si="406"/>
        <v>0</v>
      </c>
      <c r="AS389" s="379">
        <f t="shared" si="407"/>
        <v>0</v>
      </c>
      <c r="AT389" s="379">
        <f t="shared" si="408"/>
        <v>0</v>
      </c>
      <c r="AU389" s="379">
        <f t="shared" si="409"/>
        <v>0</v>
      </c>
      <c r="AV389" s="379">
        <f t="shared" si="410"/>
        <v>0</v>
      </c>
      <c r="AW389" s="379">
        <f t="shared" si="411"/>
        <v>0</v>
      </c>
      <c r="AX389" s="379">
        <f t="shared" si="412"/>
        <v>0</v>
      </c>
      <c r="AY389" s="379">
        <f t="shared" si="413"/>
        <v>0</v>
      </c>
    </row>
    <row r="390" spans="1:51" x14ac:dyDescent="0.2">
      <c r="A390" s="376">
        <v>17950</v>
      </c>
      <c r="B390" s="378" t="str">
        <f t="shared" si="366"/>
        <v>Warren (A)</v>
      </c>
      <c r="C390" s="377" t="str">
        <f t="shared" si="367"/>
        <v>NetWaste</v>
      </c>
      <c r="D390" s="503" t="str">
        <f t="shared" si="368"/>
        <v>N</v>
      </c>
      <c r="E390" s="503"/>
      <c r="F390"/>
      <c r="G390" s="379">
        <f t="shared" si="369"/>
        <v>2901</v>
      </c>
      <c r="H390" s="379">
        <f t="shared" si="370"/>
        <v>777</v>
      </c>
      <c r="I390" s="379">
        <f t="shared" si="371"/>
        <v>240</v>
      </c>
      <c r="J390" s="379" t="str">
        <f t="shared" si="372"/>
        <v>Y</v>
      </c>
      <c r="K390" s="379">
        <f t="shared" si="373"/>
        <v>759</v>
      </c>
      <c r="L390" s="379">
        <f t="shared" si="374"/>
        <v>0</v>
      </c>
      <c r="M390" s="379">
        <f t="shared" si="375"/>
        <v>0</v>
      </c>
      <c r="N390" s="379">
        <f t="shared" si="376"/>
        <v>0</v>
      </c>
      <c r="O390" s="379">
        <f t="shared" si="377"/>
        <v>0</v>
      </c>
      <c r="P390" s="379">
        <f t="shared" si="378"/>
        <v>0</v>
      </c>
      <c r="Q390" s="379" t="str">
        <f t="shared" si="379"/>
        <v>Y</v>
      </c>
      <c r="R390" s="379" t="str">
        <f t="shared" si="380"/>
        <v>Ewenmar Waste Facility</v>
      </c>
      <c r="S390" s="379">
        <f t="shared" si="381"/>
        <v>0</v>
      </c>
      <c r="T390" s="379">
        <f t="shared" si="382"/>
        <v>0</v>
      </c>
      <c r="U390" s="379">
        <f t="shared" si="383"/>
        <v>0</v>
      </c>
      <c r="V390" s="379">
        <f t="shared" si="384"/>
        <v>0</v>
      </c>
      <c r="W390" s="379">
        <f t="shared" si="385"/>
        <v>0</v>
      </c>
      <c r="X390" s="379">
        <f t="shared" si="386"/>
        <v>0</v>
      </c>
      <c r="Y390" s="379">
        <f t="shared" si="387"/>
        <v>0</v>
      </c>
      <c r="Z390" s="379">
        <f t="shared" si="388"/>
        <v>0</v>
      </c>
      <c r="AA390" s="379">
        <f t="shared" si="389"/>
        <v>0</v>
      </c>
      <c r="AB390" s="379">
        <f t="shared" si="390"/>
        <v>0</v>
      </c>
      <c r="AC390" s="379">
        <f t="shared" si="391"/>
        <v>0</v>
      </c>
      <c r="AD390" s="379">
        <f t="shared" si="392"/>
        <v>0</v>
      </c>
      <c r="AE390" s="379">
        <f t="shared" si="393"/>
        <v>0</v>
      </c>
      <c r="AF390" s="379">
        <f t="shared" si="394"/>
        <v>0</v>
      </c>
      <c r="AG390" s="379">
        <f t="shared" si="395"/>
        <v>0</v>
      </c>
      <c r="AH390" s="379">
        <f t="shared" si="396"/>
        <v>0</v>
      </c>
      <c r="AI390" s="379">
        <f t="shared" si="397"/>
        <v>0</v>
      </c>
      <c r="AJ390" s="379">
        <f t="shared" si="398"/>
        <v>0</v>
      </c>
      <c r="AK390" s="379">
        <f t="shared" si="399"/>
        <v>0</v>
      </c>
      <c r="AL390" s="379">
        <f t="shared" si="400"/>
        <v>0</v>
      </c>
      <c r="AM390" s="379">
        <f t="shared" si="401"/>
        <v>0</v>
      </c>
      <c r="AN390" s="490">
        <f t="shared" si="402"/>
        <v>0</v>
      </c>
      <c r="AO390" s="379">
        <f t="shared" si="403"/>
        <v>0</v>
      </c>
      <c r="AP390" s="379">
        <f t="shared" si="404"/>
        <v>0</v>
      </c>
      <c r="AQ390" s="379">
        <f t="shared" si="405"/>
        <v>0</v>
      </c>
      <c r="AR390" s="379">
        <f t="shared" si="406"/>
        <v>0</v>
      </c>
      <c r="AS390" s="379">
        <f t="shared" si="407"/>
        <v>0</v>
      </c>
      <c r="AT390" s="379">
        <f t="shared" si="408"/>
        <v>0</v>
      </c>
      <c r="AU390" s="379">
        <f t="shared" si="409"/>
        <v>0</v>
      </c>
      <c r="AV390" s="379">
        <f t="shared" si="410"/>
        <v>0</v>
      </c>
      <c r="AW390" s="379">
        <f t="shared" si="411"/>
        <v>0</v>
      </c>
      <c r="AX390" s="379">
        <f t="shared" si="412"/>
        <v>0</v>
      </c>
      <c r="AY390" s="379">
        <f t="shared" si="413"/>
        <v>0</v>
      </c>
    </row>
    <row r="391" spans="1:51" x14ac:dyDescent="0.2">
      <c r="A391" s="376">
        <v>18020</v>
      </c>
      <c r="B391" s="378" t="str">
        <f t="shared" si="366"/>
        <v>Warrumbungle Shire (A)</v>
      </c>
      <c r="C391" s="377" t="str">
        <f t="shared" si="367"/>
        <v>NetWaste</v>
      </c>
      <c r="D391" s="503" t="str">
        <f t="shared" si="368"/>
        <v>N</v>
      </c>
      <c r="E391" s="503"/>
      <c r="F391"/>
      <c r="G391" s="379">
        <f t="shared" si="369"/>
        <v>9688</v>
      </c>
      <c r="H391" s="379">
        <f t="shared" si="370"/>
        <v>3520</v>
      </c>
      <c r="I391" s="379">
        <f t="shared" si="371"/>
        <v>325</v>
      </c>
      <c r="J391" s="379" t="str">
        <f t="shared" si="372"/>
        <v>Y</v>
      </c>
      <c r="K391" s="379">
        <f t="shared" si="373"/>
        <v>3420</v>
      </c>
      <c r="L391" s="379">
        <f t="shared" si="374"/>
        <v>0</v>
      </c>
      <c r="M391" s="379">
        <f t="shared" si="375"/>
        <v>3420</v>
      </c>
      <c r="N391" s="379">
        <f t="shared" si="376"/>
        <v>0</v>
      </c>
      <c r="O391" s="379">
        <f t="shared" si="377"/>
        <v>0</v>
      </c>
      <c r="P391" s="379">
        <f t="shared" si="378"/>
        <v>0</v>
      </c>
      <c r="Q391" s="379" t="str">
        <f t="shared" si="379"/>
        <v>Y</v>
      </c>
      <c r="R391" s="379" t="str">
        <f t="shared" si="380"/>
        <v>Coonabarabran</v>
      </c>
      <c r="S391" s="379" t="str">
        <f t="shared" si="381"/>
        <v>Baradine</v>
      </c>
      <c r="T391" s="379" t="str">
        <f t="shared" si="382"/>
        <v>Binnaway</v>
      </c>
      <c r="U391" s="379" t="str">
        <f t="shared" si="383"/>
        <v>Ulamambri</v>
      </c>
      <c r="V391" s="379" t="str">
        <f t="shared" si="384"/>
        <v>Coolah</v>
      </c>
      <c r="W391" s="379" t="str">
        <f t="shared" si="385"/>
        <v>Dunedoo</v>
      </c>
      <c r="X391" s="379">
        <f t="shared" si="386"/>
        <v>0</v>
      </c>
      <c r="Y391" s="379">
        <f t="shared" si="387"/>
        <v>0</v>
      </c>
      <c r="Z391" s="379">
        <f t="shared" si="388"/>
        <v>0</v>
      </c>
      <c r="AA391" s="379">
        <f t="shared" si="389"/>
        <v>0</v>
      </c>
      <c r="AB391" s="379">
        <f t="shared" si="390"/>
        <v>0</v>
      </c>
      <c r="AC391" s="379">
        <f t="shared" si="391"/>
        <v>0</v>
      </c>
      <c r="AD391" s="379">
        <f t="shared" si="392"/>
        <v>0</v>
      </c>
      <c r="AE391" s="379">
        <f t="shared" si="393"/>
        <v>0</v>
      </c>
      <c r="AF391" s="379">
        <f t="shared" si="394"/>
        <v>0</v>
      </c>
      <c r="AG391" s="379">
        <f t="shared" si="395"/>
        <v>0</v>
      </c>
      <c r="AH391" s="379">
        <f t="shared" si="396"/>
        <v>0</v>
      </c>
      <c r="AI391" s="379">
        <f t="shared" si="397"/>
        <v>0</v>
      </c>
      <c r="AJ391" s="379">
        <f t="shared" si="398"/>
        <v>0</v>
      </c>
      <c r="AK391" s="379">
        <f t="shared" si="399"/>
        <v>0</v>
      </c>
      <c r="AL391" s="379">
        <f t="shared" si="400"/>
        <v>0</v>
      </c>
      <c r="AM391" s="379">
        <f t="shared" si="401"/>
        <v>0</v>
      </c>
      <c r="AN391" s="490">
        <f t="shared" si="402"/>
        <v>0</v>
      </c>
      <c r="AO391" s="379">
        <f t="shared" si="403"/>
        <v>0</v>
      </c>
      <c r="AP391" s="379">
        <f t="shared" si="404"/>
        <v>0</v>
      </c>
      <c r="AQ391" s="379">
        <f t="shared" si="405"/>
        <v>0</v>
      </c>
      <c r="AR391" s="379">
        <f t="shared" si="406"/>
        <v>0</v>
      </c>
      <c r="AS391" s="379">
        <f t="shared" si="407"/>
        <v>0</v>
      </c>
      <c r="AT391" s="379">
        <f t="shared" si="408"/>
        <v>0</v>
      </c>
      <c r="AU391" s="379">
        <f t="shared" si="409"/>
        <v>0</v>
      </c>
      <c r="AV391" s="379">
        <f t="shared" si="410"/>
        <v>0</v>
      </c>
      <c r="AW391" s="379">
        <f t="shared" si="411"/>
        <v>0</v>
      </c>
      <c r="AX391" s="379">
        <f t="shared" si="412"/>
        <v>0</v>
      </c>
      <c r="AY391" s="379">
        <f t="shared" si="413"/>
        <v>0</v>
      </c>
    </row>
    <row r="392" spans="1:51" x14ac:dyDescent="0.2">
      <c r="A392" s="376">
        <v>18100</v>
      </c>
      <c r="B392" s="378" t="str">
        <f t="shared" si="366"/>
        <v>Weddin (A)</v>
      </c>
      <c r="C392" s="377" t="str">
        <f t="shared" si="367"/>
        <v>NetWaste</v>
      </c>
      <c r="D392" s="503" t="str">
        <f t="shared" si="368"/>
        <v>N</v>
      </c>
      <c r="E392" s="503"/>
      <c r="F392"/>
      <c r="G392" s="379">
        <f t="shared" si="369"/>
        <v>3708</v>
      </c>
      <c r="H392" s="379">
        <f t="shared" si="370"/>
        <v>1532</v>
      </c>
      <c r="I392" s="379">
        <f t="shared" si="371"/>
        <v>183</v>
      </c>
      <c r="J392" s="379" t="str">
        <f t="shared" si="372"/>
        <v>Y</v>
      </c>
      <c r="K392" s="379">
        <f t="shared" si="373"/>
        <v>1133</v>
      </c>
      <c r="L392" s="379">
        <f t="shared" si="374"/>
        <v>0</v>
      </c>
      <c r="M392" s="379">
        <f t="shared" si="375"/>
        <v>1133</v>
      </c>
      <c r="N392" s="379">
        <f t="shared" si="376"/>
        <v>0</v>
      </c>
      <c r="O392" s="379">
        <f t="shared" si="377"/>
        <v>0</v>
      </c>
      <c r="P392" s="379">
        <f t="shared" si="378"/>
        <v>0</v>
      </c>
      <c r="Q392" s="379" t="str">
        <f t="shared" si="379"/>
        <v>Y</v>
      </c>
      <c r="R392" s="379" t="str">
        <f t="shared" si="380"/>
        <v>Grenfell Waste Faciltity</v>
      </c>
      <c r="S392" s="379" t="str">
        <f t="shared" si="381"/>
        <v>Quandialla Landfill</v>
      </c>
      <c r="T392" s="379" t="str">
        <f t="shared" si="382"/>
        <v>Caragabal Landfill</v>
      </c>
      <c r="U392" s="379">
        <f t="shared" si="383"/>
        <v>0</v>
      </c>
      <c r="V392" s="379">
        <f t="shared" si="384"/>
        <v>0</v>
      </c>
      <c r="W392" s="379">
        <f t="shared" si="385"/>
        <v>0</v>
      </c>
      <c r="X392" s="379">
        <f t="shared" si="386"/>
        <v>0</v>
      </c>
      <c r="Y392" s="379">
        <f t="shared" si="387"/>
        <v>0</v>
      </c>
      <c r="Z392" s="379">
        <f t="shared" si="388"/>
        <v>0</v>
      </c>
      <c r="AA392" s="379">
        <f t="shared" si="389"/>
        <v>0</v>
      </c>
      <c r="AB392" s="379">
        <f t="shared" si="390"/>
        <v>0</v>
      </c>
      <c r="AC392" s="379">
        <f t="shared" si="391"/>
        <v>0</v>
      </c>
      <c r="AD392" s="379">
        <f t="shared" si="392"/>
        <v>0</v>
      </c>
      <c r="AE392" s="379">
        <f t="shared" si="393"/>
        <v>0</v>
      </c>
      <c r="AF392" s="379">
        <f t="shared" si="394"/>
        <v>0</v>
      </c>
      <c r="AG392" s="379">
        <f t="shared" si="395"/>
        <v>0</v>
      </c>
      <c r="AH392" s="379">
        <f t="shared" si="396"/>
        <v>0</v>
      </c>
      <c r="AI392" s="379">
        <f t="shared" si="397"/>
        <v>0</v>
      </c>
      <c r="AJ392" s="379">
        <f t="shared" si="398"/>
        <v>0</v>
      </c>
      <c r="AK392" s="379">
        <f t="shared" si="399"/>
        <v>0</v>
      </c>
      <c r="AL392" s="379">
        <f t="shared" si="400"/>
        <v>0</v>
      </c>
      <c r="AM392" s="379">
        <f t="shared" si="401"/>
        <v>0</v>
      </c>
      <c r="AN392" s="490">
        <f t="shared" si="402"/>
        <v>0</v>
      </c>
      <c r="AO392" s="379">
        <f t="shared" si="403"/>
        <v>0</v>
      </c>
      <c r="AP392" s="379">
        <f t="shared" si="404"/>
        <v>0</v>
      </c>
      <c r="AQ392" s="379">
        <f t="shared" si="405"/>
        <v>0</v>
      </c>
      <c r="AR392" s="379">
        <f t="shared" si="406"/>
        <v>0</v>
      </c>
      <c r="AS392" s="379">
        <f t="shared" si="407"/>
        <v>0</v>
      </c>
      <c r="AT392" s="379">
        <f t="shared" si="408"/>
        <v>0</v>
      </c>
      <c r="AU392" s="379">
        <f t="shared" si="409"/>
        <v>0</v>
      </c>
      <c r="AV392" s="379">
        <f t="shared" si="410"/>
        <v>0</v>
      </c>
      <c r="AW392" s="379">
        <f t="shared" si="411"/>
        <v>0</v>
      </c>
      <c r="AX392" s="379">
        <f t="shared" si="412"/>
        <v>0</v>
      </c>
      <c r="AY392" s="379">
        <f t="shared" si="413"/>
        <v>0</v>
      </c>
    </row>
    <row r="393" spans="1:51" x14ac:dyDescent="0.2">
      <c r="A393" s="376">
        <v>18200</v>
      </c>
      <c r="B393" s="378" t="str">
        <f t="shared" si="366"/>
        <v>Wentworth (A)</v>
      </c>
      <c r="C393" s="377" t="str">
        <f t="shared" si="367"/>
        <v>RAMROC Murray</v>
      </c>
      <c r="D393" s="503" t="str">
        <f t="shared" si="368"/>
        <v>N</v>
      </c>
      <c r="E393" s="503"/>
      <c r="F393"/>
      <c r="G393" s="379">
        <f t="shared" si="369"/>
        <v>6962</v>
      </c>
      <c r="H393" s="379">
        <f t="shared" si="370"/>
        <v>2705</v>
      </c>
      <c r="I393" s="379">
        <f t="shared" si="371"/>
        <v>225</v>
      </c>
      <c r="J393" s="379" t="str">
        <f t="shared" si="372"/>
        <v>Y</v>
      </c>
      <c r="K393" s="379">
        <f t="shared" si="373"/>
        <v>2880</v>
      </c>
      <c r="L393" s="379">
        <f t="shared" si="374"/>
        <v>0</v>
      </c>
      <c r="M393" s="379">
        <f t="shared" si="375"/>
        <v>0</v>
      </c>
      <c r="N393" s="379">
        <f t="shared" si="376"/>
        <v>0</v>
      </c>
      <c r="O393" s="379">
        <f t="shared" si="377"/>
        <v>0</v>
      </c>
      <c r="P393" s="379" t="str">
        <f t="shared" si="378"/>
        <v>Y</v>
      </c>
      <c r="Q393" s="379" t="str">
        <f t="shared" si="379"/>
        <v>Y</v>
      </c>
      <c r="R393" s="379" t="str">
        <f t="shared" si="380"/>
        <v>Wentworth Transfer Station</v>
      </c>
      <c r="S393" s="379" t="str">
        <f t="shared" si="381"/>
        <v>Dareton Transfer station</v>
      </c>
      <c r="T393" s="379" t="str">
        <f t="shared" si="382"/>
        <v>Ellerslie Tip</v>
      </c>
      <c r="U393" s="379" t="str">
        <f t="shared" si="383"/>
        <v>Pomona Tip</v>
      </c>
      <c r="V393" s="379" t="str">
        <f t="shared" si="384"/>
        <v>Pooncarie Tip</v>
      </c>
      <c r="W393" s="379" t="str">
        <f t="shared" si="385"/>
        <v>Buronga Landfill</v>
      </c>
      <c r="X393" s="379">
        <f t="shared" si="386"/>
        <v>0</v>
      </c>
      <c r="Y393" s="379">
        <f t="shared" si="387"/>
        <v>0</v>
      </c>
      <c r="Z393" s="379">
        <f t="shared" si="388"/>
        <v>0</v>
      </c>
      <c r="AA393" s="379">
        <f t="shared" si="389"/>
        <v>0</v>
      </c>
      <c r="AB393" s="379">
        <f t="shared" si="390"/>
        <v>0</v>
      </c>
      <c r="AC393" s="379">
        <f t="shared" si="391"/>
        <v>0</v>
      </c>
      <c r="AD393" s="379">
        <f t="shared" si="392"/>
        <v>0</v>
      </c>
      <c r="AE393" s="379">
        <f t="shared" si="393"/>
        <v>0</v>
      </c>
      <c r="AF393" s="379">
        <f t="shared" si="394"/>
        <v>0</v>
      </c>
      <c r="AG393" s="379">
        <f t="shared" si="395"/>
        <v>0</v>
      </c>
      <c r="AH393" s="379">
        <f t="shared" si="396"/>
        <v>0</v>
      </c>
      <c r="AI393" s="379">
        <f t="shared" si="397"/>
        <v>0</v>
      </c>
      <c r="AJ393" s="379">
        <f t="shared" si="398"/>
        <v>0</v>
      </c>
      <c r="AK393" s="379">
        <f t="shared" si="399"/>
        <v>0</v>
      </c>
      <c r="AL393" s="379">
        <f t="shared" si="400"/>
        <v>0</v>
      </c>
      <c r="AM393" s="379">
        <f t="shared" si="401"/>
        <v>0</v>
      </c>
      <c r="AN393" s="490">
        <f t="shared" si="402"/>
        <v>0</v>
      </c>
      <c r="AO393" s="379">
        <f t="shared" si="403"/>
        <v>0</v>
      </c>
      <c r="AP393" s="379">
        <f t="shared" si="404"/>
        <v>0</v>
      </c>
      <c r="AQ393" s="379">
        <f t="shared" si="405"/>
        <v>0</v>
      </c>
      <c r="AR393" s="379">
        <f t="shared" si="406"/>
        <v>0</v>
      </c>
      <c r="AS393" s="379">
        <f t="shared" si="407"/>
        <v>0</v>
      </c>
      <c r="AT393" s="379">
        <f t="shared" si="408"/>
        <v>0</v>
      </c>
      <c r="AU393" s="379">
        <f t="shared" si="409"/>
        <v>0</v>
      </c>
      <c r="AV393" s="379">
        <f t="shared" si="410"/>
        <v>0</v>
      </c>
      <c r="AW393" s="379">
        <f t="shared" si="411"/>
        <v>0</v>
      </c>
      <c r="AX393" s="379">
        <f t="shared" si="412"/>
        <v>0</v>
      </c>
      <c r="AY393" s="379">
        <f t="shared" si="413"/>
        <v>0</v>
      </c>
    </row>
    <row r="394" spans="1:51" x14ac:dyDescent="0.2">
      <c r="A394" s="376">
        <v>18230</v>
      </c>
      <c r="B394" s="378" t="str">
        <f t="shared" si="366"/>
        <v>Dubbo Regional (A)</v>
      </c>
      <c r="C394" s="377" t="str">
        <f t="shared" si="367"/>
        <v>NetWaste</v>
      </c>
      <c r="D394" s="503" t="str">
        <f t="shared" si="368"/>
        <v>N</v>
      </c>
      <c r="E394" s="503"/>
      <c r="F394"/>
      <c r="G394" s="379">
        <f t="shared" si="369"/>
        <v>51449</v>
      </c>
      <c r="H394" s="379">
        <f t="shared" si="370"/>
        <v>22045</v>
      </c>
      <c r="I394" s="379">
        <f t="shared" si="371"/>
        <v>290.60000000000002</v>
      </c>
      <c r="J394" s="379" t="str">
        <f t="shared" si="372"/>
        <v>Y</v>
      </c>
      <c r="K394" s="379">
        <f t="shared" si="373"/>
        <v>19165</v>
      </c>
      <c r="L394" s="379">
        <f t="shared" si="374"/>
        <v>0</v>
      </c>
      <c r="M394" s="379">
        <f t="shared" si="375"/>
        <v>19165</v>
      </c>
      <c r="N394" s="379">
        <f t="shared" si="376"/>
        <v>0</v>
      </c>
      <c r="O394" s="379">
        <f t="shared" si="377"/>
        <v>0</v>
      </c>
      <c r="P394" s="379" t="str">
        <f t="shared" si="378"/>
        <v>Y</v>
      </c>
      <c r="Q394" s="379" t="str">
        <f t="shared" si="379"/>
        <v>Y</v>
      </c>
      <c r="R394" s="379" t="str">
        <f t="shared" si="380"/>
        <v>Transfer Stations Dubbo</v>
      </c>
      <c r="S394" s="379" t="str">
        <f t="shared" si="381"/>
        <v>Wellington Waste Disposal Depot</v>
      </c>
      <c r="T394" s="379" t="str">
        <f t="shared" si="382"/>
        <v>Whylandra Waste Disposal Depot</v>
      </c>
      <c r="U394" s="379" t="str">
        <f t="shared" si="383"/>
        <v>Wellington transfer stations</v>
      </c>
      <c r="V394" s="379">
        <f t="shared" si="384"/>
        <v>0</v>
      </c>
      <c r="W394" s="379">
        <f t="shared" si="385"/>
        <v>0</v>
      </c>
      <c r="X394" s="379">
        <f t="shared" si="386"/>
        <v>0</v>
      </c>
      <c r="Y394" s="379">
        <f t="shared" si="387"/>
        <v>0</v>
      </c>
      <c r="Z394" s="379">
        <f t="shared" si="388"/>
        <v>0</v>
      </c>
      <c r="AA394" s="379">
        <f t="shared" si="389"/>
        <v>0</v>
      </c>
      <c r="AB394" s="379">
        <f t="shared" si="390"/>
        <v>0</v>
      </c>
      <c r="AC394" s="379">
        <f t="shared" si="391"/>
        <v>0</v>
      </c>
      <c r="AD394" s="379">
        <f t="shared" si="392"/>
        <v>0</v>
      </c>
      <c r="AE394" s="379">
        <f t="shared" si="393"/>
        <v>0</v>
      </c>
      <c r="AF394" s="379">
        <f t="shared" si="394"/>
        <v>0</v>
      </c>
      <c r="AG394" s="379">
        <f t="shared" si="395"/>
        <v>0</v>
      </c>
      <c r="AH394" s="379">
        <f t="shared" si="396"/>
        <v>0</v>
      </c>
      <c r="AI394" s="379">
        <f t="shared" si="397"/>
        <v>0</v>
      </c>
      <c r="AJ394" s="379">
        <f t="shared" si="398"/>
        <v>0</v>
      </c>
      <c r="AK394" s="379">
        <f t="shared" si="399"/>
        <v>0</v>
      </c>
      <c r="AL394" s="379">
        <f t="shared" si="400"/>
        <v>0</v>
      </c>
      <c r="AM394" s="379">
        <f t="shared" si="401"/>
        <v>0</v>
      </c>
      <c r="AN394" s="490">
        <f t="shared" si="402"/>
        <v>0</v>
      </c>
      <c r="AO394" s="379">
        <f t="shared" si="403"/>
        <v>0</v>
      </c>
      <c r="AP394" s="379">
        <f t="shared" si="404"/>
        <v>0</v>
      </c>
      <c r="AQ394" s="379">
        <f t="shared" si="405"/>
        <v>0</v>
      </c>
      <c r="AR394" s="379">
        <f t="shared" si="406"/>
        <v>0</v>
      </c>
      <c r="AS394" s="379">
        <f t="shared" si="407"/>
        <v>0</v>
      </c>
      <c r="AT394" s="379">
        <f t="shared" si="408"/>
        <v>0</v>
      </c>
      <c r="AU394" s="379">
        <f t="shared" si="409"/>
        <v>0</v>
      </c>
      <c r="AV394" s="379">
        <f t="shared" si="410"/>
        <v>0</v>
      </c>
      <c r="AW394" s="379">
        <f t="shared" si="411"/>
        <v>0</v>
      </c>
      <c r="AX394" s="379">
        <f t="shared" si="412"/>
        <v>0</v>
      </c>
      <c r="AY394" s="379">
        <f t="shared" si="413"/>
        <v>0</v>
      </c>
    </row>
    <row r="395" spans="1:51" x14ac:dyDescent="0.2">
      <c r="A395" s="376">
        <v>18400</v>
      </c>
      <c r="B395" s="378" t="str">
        <f t="shared" si="366"/>
        <v>Wollondilly (A)</v>
      </c>
      <c r="C395" s="377" t="str">
        <f t="shared" si="367"/>
        <v>MACROC</v>
      </c>
      <c r="D395" s="503" t="str">
        <f t="shared" si="368"/>
        <v>R</v>
      </c>
      <c r="E395" s="503"/>
      <c r="F395"/>
      <c r="G395" s="379">
        <f t="shared" si="369"/>
        <v>49109</v>
      </c>
      <c r="H395" s="379">
        <f t="shared" si="370"/>
        <v>16957</v>
      </c>
      <c r="I395" s="379">
        <f t="shared" si="371"/>
        <v>513</v>
      </c>
      <c r="J395" s="379" t="str">
        <f t="shared" si="372"/>
        <v>Y</v>
      </c>
      <c r="K395" s="379">
        <f t="shared" si="373"/>
        <v>17219</v>
      </c>
      <c r="L395" s="379">
        <f t="shared" si="374"/>
        <v>0</v>
      </c>
      <c r="M395" s="379">
        <f t="shared" si="375"/>
        <v>17056</v>
      </c>
      <c r="N395" s="379">
        <f t="shared" si="376"/>
        <v>11869</v>
      </c>
      <c r="O395" s="379">
        <f t="shared" si="377"/>
        <v>0</v>
      </c>
      <c r="P395" s="379" t="str">
        <f t="shared" si="378"/>
        <v>Y</v>
      </c>
      <c r="Q395" s="379" t="str">
        <f t="shared" si="379"/>
        <v>Y</v>
      </c>
      <c r="R395" s="379" t="str">
        <f t="shared" si="380"/>
        <v>Bargo Waste Management Centre</v>
      </c>
      <c r="S395" s="379">
        <f t="shared" si="381"/>
        <v>0</v>
      </c>
      <c r="T395" s="379">
        <f t="shared" si="382"/>
        <v>0</v>
      </c>
      <c r="U395" s="379">
        <f t="shared" si="383"/>
        <v>0</v>
      </c>
      <c r="V395" s="379">
        <f t="shared" si="384"/>
        <v>0</v>
      </c>
      <c r="W395" s="379">
        <f t="shared" si="385"/>
        <v>0</v>
      </c>
      <c r="X395" s="379">
        <f t="shared" si="386"/>
        <v>0</v>
      </c>
      <c r="Y395" s="379">
        <f t="shared" si="387"/>
        <v>0</v>
      </c>
      <c r="Z395" s="379">
        <f t="shared" si="388"/>
        <v>0</v>
      </c>
      <c r="AA395" s="379">
        <f t="shared" si="389"/>
        <v>0</v>
      </c>
      <c r="AB395" s="379">
        <f t="shared" si="390"/>
        <v>0</v>
      </c>
      <c r="AC395" s="379">
        <f t="shared" si="391"/>
        <v>0</v>
      </c>
      <c r="AD395" s="379">
        <f t="shared" si="392"/>
        <v>0</v>
      </c>
      <c r="AE395" s="379">
        <f t="shared" si="393"/>
        <v>0</v>
      </c>
      <c r="AF395" s="379">
        <f t="shared" si="394"/>
        <v>0</v>
      </c>
      <c r="AG395" s="379">
        <f t="shared" si="395"/>
        <v>0</v>
      </c>
      <c r="AH395" s="379">
        <f t="shared" si="396"/>
        <v>0</v>
      </c>
      <c r="AI395" s="379">
        <f t="shared" si="397"/>
        <v>0</v>
      </c>
      <c r="AJ395" s="379">
        <f t="shared" si="398"/>
        <v>0</v>
      </c>
      <c r="AK395" s="379">
        <f t="shared" si="399"/>
        <v>0</v>
      </c>
      <c r="AL395" s="379">
        <f t="shared" si="400"/>
        <v>0</v>
      </c>
      <c r="AM395" s="379">
        <f t="shared" si="401"/>
        <v>0</v>
      </c>
      <c r="AN395" s="490">
        <f t="shared" si="402"/>
        <v>0</v>
      </c>
      <c r="AO395" s="379">
        <f t="shared" si="403"/>
        <v>0</v>
      </c>
      <c r="AP395" s="379">
        <f t="shared" si="404"/>
        <v>0</v>
      </c>
      <c r="AQ395" s="379">
        <f t="shared" si="405"/>
        <v>0</v>
      </c>
      <c r="AR395" s="379">
        <f t="shared" si="406"/>
        <v>0</v>
      </c>
      <c r="AS395" s="379">
        <f t="shared" si="407"/>
        <v>0</v>
      </c>
      <c r="AT395" s="379">
        <f t="shared" si="408"/>
        <v>0</v>
      </c>
      <c r="AU395" s="379">
        <f t="shared" si="409"/>
        <v>0</v>
      </c>
      <c r="AV395" s="379">
        <f t="shared" si="410"/>
        <v>0</v>
      </c>
      <c r="AW395" s="379">
        <f t="shared" si="411"/>
        <v>0</v>
      </c>
      <c r="AX395" s="379">
        <f t="shared" si="412"/>
        <v>0</v>
      </c>
      <c r="AY395" s="379">
        <f t="shared" si="413"/>
        <v>0</v>
      </c>
    </row>
    <row r="396" spans="1:51" ht="13.5" thickBot="1" x14ac:dyDescent="0.25">
      <c r="A396" s="376">
        <v>18710</v>
      </c>
      <c r="B396" s="378" t="str">
        <f t="shared" si="366"/>
        <v>Yass Valley (A)</v>
      </c>
      <c r="C396" s="377" t="str">
        <f t="shared" si="367"/>
        <v>CBRJO</v>
      </c>
      <c r="D396" s="503" t="str">
        <f t="shared" si="368"/>
        <v>N</v>
      </c>
      <c r="E396" s="503"/>
      <c r="F396"/>
      <c r="G396" s="379">
        <f t="shared" si="369"/>
        <v>16870</v>
      </c>
      <c r="H396" s="379">
        <f t="shared" si="370"/>
        <v>4892</v>
      </c>
      <c r="I396" s="379">
        <f t="shared" si="371"/>
        <v>359</v>
      </c>
      <c r="J396" s="379" t="str">
        <f t="shared" si="372"/>
        <v>Y</v>
      </c>
      <c r="K396" s="379">
        <f t="shared" si="373"/>
        <v>3798</v>
      </c>
      <c r="L396" s="379">
        <f t="shared" si="374"/>
        <v>0</v>
      </c>
      <c r="M396" s="379">
        <f t="shared" si="375"/>
        <v>3798</v>
      </c>
      <c r="N396" s="379">
        <f t="shared" si="376"/>
        <v>0</v>
      </c>
      <c r="O396" s="379">
        <f t="shared" si="377"/>
        <v>0</v>
      </c>
      <c r="P396" s="379">
        <f t="shared" si="378"/>
        <v>0</v>
      </c>
      <c r="Q396" s="379" t="str">
        <f t="shared" si="379"/>
        <v>Y</v>
      </c>
      <c r="R396" s="379" t="str">
        <f t="shared" si="380"/>
        <v>Yass Transfer Station</v>
      </c>
      <c r="S396" s="379" t="str">
        <f t="shared" si="381"/>
        <v>Gundaroo Landfill</v>
      </c>
      <c r="T396" s="379" t="str">
        <f t="shared" si="382"/>
        <v>Murrumbateman Transfer Station</v>
      </c>
      <c r="U396" s="379">
        <f t="shared" si="383"/>
        <v>0</v>
      </c>
      <c r="V396" s="379">
        <f t="shared" si="384"/>
        <v>0</v>
      </c>
      <c r="W396" s="379">
        <f t="shared" si="385"/>
        <v>0</v>
      </c>
      <c r="X396" s="379">
        <f t="shared" si="386"/>
        <v>0</v>
      </c>
      <c r="Y396" s="379">
        <f t="shared" si="387"/>
        <v>0</v>
      </c>
      <c r="Z396" s="379">
        <f t="shared" si="388"/>
        <v>0</v>
      </c>
      <c r="AA396" s="379">
        <f t="shared" si="389"/>
        <v>0</v>
      </c>
      <c r="AB396" s="379">
        <f t="shared" si="390"/>
        <v>0</v>
      </c>
      <c r="AC396" s="379">
        <f t="shared" si="391"/>
        <v>0</v>
      </c>
      <c r="AD396" s="379">
        <f t="shared" si="392"/>
        <v>0</v>
      </c>
      <c r="AE396" s="379">
        <f t="shared" si="393"/>
        <v>0</v>
      </c>
      <c r="AF396" s="379">
        <f t="shared" si="394"/>
        <v>0</v>
      </c>
      <c r="AG396" s="379">
        <f t="shared" si="395"/>
        <v>0</v>
      </c>
      <c r="AH396" s="379">
        <f t="shared" si="396"/>
        <v>0</v>
      </c>
      <c r="AI396" s="379">
        <f t="shared" si="397"/>
        <v>0</v>
      </c>
      <c r="AJ396" s="379">
        <f t="shared" si="398"/>
        <v>0</v>
      </c>
      <c r="AK396" s="379">
        <f t="shared" si="399"/>
        <v>0</v>
      </c>
      <c r="AL396" s="379">
        <f t="shared" si="400"/>
        <v>0</v>
      </c>
      <c r="AM396" s="379">
        <f t="shared" si="401"/>
        <v>0</v>
      </c>
      <c r="AN396" s="490">
        <f t="shared" si="402"/>
        <v>0</v>
      </c>
      <c r="AO396" s="379">
        <f t="shared" si="403"/>
        <v>0</v>
      </c>
      <c r="AP396" s="379">
        <f t="shared" si="404"/>
        <v>0</v>
      </c>
      <c r="AQ396" s="379">
        <f t="shared" si="405"/>
        <v>0</v>
      </c>
      <c r="AR396" s="379">
        <f t="shared" si="406"/>
        <v>0</v>
      </c>
      <c r="AS396" s="379">
        <f t="shared" si="407"/>
        <v>0</v>
      </c>
      <c r="AT396" s="379">
        <f t="shared" si="408"/>
        <v>0</v>
      </c>
      <c r="AU396" s="379">
        <f t="shared" si="409"/>
        <v>0</v>
      </c>
      <c r="AV396" s="379">
        <f t="shared" si="410"/>
        <v>0</v>
      </c>
      <c r="AW396" s="379">
        <f t="shared" si="411"/>
        <v>0</v>
      </c>
      <c r="AX396" s="379">
        <f t="shared" si="412"/>
        <v>0</v>
      </c>
      <c r="AY396" s="379">
        <f t="shared" si="413"/>
        <v>0</v>
      </c>
    </row>
    <row r="397" spans="1:51" ht="13.5" thickTop="1" x14ac:dyDescent="0.2">
      <c r="A397" s="380"/>
      <c r="B397" s="380"/>
      <c r="C397" s="380" t="s">
        <v>264</v>
      </c>
      <c r="D397" s="380"/>
      <c r="E397" s="484"/>
      <c r="F397" s="381"/>
      <c r="G397" s="382">
        <f t="shared" ref="G397:AY397" si="414">COUNTIF(G311:G396,"&gt;0")</f>
        <v>86</v>
      </c>
      <c r="H397" s="382">
        <f t="shared" si="414"/>
        <v>86</v>
      </c>
      <c r="I397" s="382">
        <f t="shared" si="414"/>
        <v>86</v>
      </c>
      <c r="J397" s="382">
        <f t="shared" si="414"/>
        <v>0</v>
      </c>
      <c r="K397" s="382">
        <f t="shared" si="414"/>
        <v>86</v>
      </c>
      <c r="L397" s="382">
        <f t="shared" si="414"/>
        <v>0</v>
      </c>
      <c r="M397" s="382">
        <f t="shared" si="414"/>
        <v>70</v>
      </c>
      <c r="N397" s="382">
        <f t="shared" si="414"/>
        <v>17</v>
      </c>
      <c r="O397" s="382">
        <f t="shared" si="414"/>
        <v>27</v>
      </c>
      <c r="P397" s="382">
        <f t="shared" si="414"/>
        <v>0</v>
      </c>
      <c r="Q397" s="382">
        <f t="shared" si="414"/>
        <v>0</v>
      </c>
      <c r="R397" s="382">
        <f t="shared" si="414"/>
        <v>0</v>
      </c>
      <c r="S397" s="382">
        <f t="shared" si="414"/>
        <v>0</v>
      </c>
      <c r="T397" s="382">
        <f t="shared" si="414"/>
        <v>0</v>
      </c>
      <c r="U397" s="382">
        <f t="shared" si="414"/>
        <v>0</v>
      </c>
      <c r="V397" s="382">
        <f t="shared" si="414"/>
        <v>0</v>
      </c>
      <c r="W397" s="382">
        <f t="shared" si="414"/>
        <v>0</v>
      </c>
      <c r="X397" s="382">
        <f t="shared" si="414"/>
        <v>0</v>
      </c>
      <c r="Y397" s="382">
        <f t="shared" si="414"/>
        <v>0</v>
      </c>
      <c r="Z397" s="382">
        <f t="shared" si="414"/>
        <v>0</v>
      </c>
      <c r="AA397" s="382">
        <f t="shared" si="414"/>
        <v>0</v>
      </c>
      <c r="AB397" s="382">
        <f t="shared" si="414"/>
        <v>0</v>
      </c>
      <c r="AC397" s="382">
        <f t="shared" si="414"/>
        <v>0</v>
      </c>
      <c r="AD397" s="382">
        <f t="shared" si="414"/>
        <v>0</v>
      </c>
      <c r="AE397" s="382">
        <f t="shared" si="414"/>
        <v>0</v>
      </c>
      <c r="AF397" s="382">
        <f t="shared" si="414"/>
        <v>0</v>
      </c>
      <c r="AG397" s="382">
        <f t="shared" si="414"/>
        <v>0</v>
      </c>
      <c r="AH397" s="382">
        <f t="shared" si="414"/>
        <v>0</v>
      </c>
      <c r="AI397" s="382">
        <f t="shared" si="414"/>
        <v>0</v>
      </c>
      <c r="AJ397" s="382">
        <f t="shared" si="414"/>
        <v>0</v>
      </c>
      <c r="AK397" s="382">
        <f t="shared" si="414"/>
        <v>0</v>
      </c>
      <c r="AL397" s="382">
        <f t="shared" si="414"/>
        <v>0</v>
      </c>
      <c r="AM397" s="382">
        <f t="shared" si="414"/>
        <v>0</v>
      </c>
      <c r="AN397" s="485">
        <f t="shared" si="414"/>
        <v>0</v>
      </c>
      <c r="AO397" s="382">
        <f t="shared" si="414"/>
        <v>0</v>
      </c>
      <c r="AP397" s="382">
        <f t="shared" si="414"/>
        <v>0</v>
      </c>
      <c r="AQ397" s="382">
        <f t="shared" si="414"/>
        <v>0</v>
      </c>
      <c r="AR397" s="382">
        <f t="shared" si="414"/>
        <v>0</v>
      </c>
      <c r="AS397" s="382">
        <f t="shared" si="414"/>
        <v>0</v>
      </c>
      <c r="AT397" s="382">
        <f t="shared" si="414"/>
        <v>0</v>
      </c>
      <c r="AU397" s="382">
        <f t="shared" si="414"/>
        <v>0</v>
      </c>
      <c r="AV397" s="382">
        <f t="shared" si="414"/>
        <v>0</v>
      </c>
      <c r="AW397" s="382">
        <f t="shared" si="414"/>
        <v>0</v>
      </c>
      <c r="AX397" s="382">
        <f t="shared" si="414"/>
        <v>0</v>
      </c>
      <c r="AY397" s="382">
        <f t="shared" si="414"/>
        <v>0</v>
      </c>
    </row>
    <row r="398" spans="1:51" x14ac:dyDescent="0.2">
      <c r="A398" s="376"/>
      <c r="B398" s="383" t="s">
        <v>262</v>
      </c>
      <c r="C398" s="376" t="s">
        <v>265</v>
      </c>
      <c r="D398" s="376"/>
      <c r="E398" s="488"/>
      <c r="F398" s="384"/>
      <c r="G398" s="385">
        <f t="shared" ref="G398:AY398" si="415">SUM(G311:G396)</f>
        <v>1821243</v>
      </c>
      <c r="H398" s="385">
        <f t="shared" si="415"/>
        <v>812887</v>
      </c>
      <c r="I398" s="385">
        <f t="shared" si="415"/>
        <v>29492.649999999998</v>
      </c>
      <c r="J398" s="385">
        <f t="shared" si="415"/>
        <v>0</v>
      </c>
      <c r="K398" s="385">
        <f t="shared" si="415"/>
        <v>701595</v>
      </c>
      <c r="L398" s="385">
        <f t="shared" si="415"/>
        <v>0</v>
      </c>
      <c r="M398" s="385">
        <f t="shared" si="415"/>
        <v>657578</v>
      </c>
      <c r="N398" s="385">
        <f t="shared" si="415"/>
        <v>218733</v>
      </c>
      <c r="O398" s="385">
        <f t="shared" si="415"/>
        <v>246695</v>
      </c>
      <c r="P398" s="385">
        <f t="shared" si="415"/>
        <v>0</v>
      </c>
      <c r="Q398" s="385">
        <f t="shared" si="415"/>
        <v>0</v>
      </c>
      <c r="R398" s="385">
        <f t="shared" si="415"/>
        <v>0</v>
      </c>
      <c r="S398" s="385">
        <f t="shared" si="415"/>
        <v>0</v>
      </c>
      <c r="T398" s="385">
        <f t="shared" si="415"/>
        <v>0</v>
      </c>
      <c r="U398" s="385">
        <f t="shared" si="415"/>
        <v>0</v>
      </c>
      <c r="V398" s="385">
        <f t="shared" si="415"/>
        <v>0</v>
      </c>
      <c r="W398" s="385">
        <f t="shared" si="415"/>
        <v>0</v>
      </c>
      <c r="X398" s="385">
        <f t="shared" si="415"/>
        <v>0</v>
      </c>
      <c r="Y398" s="385">
        <f t="shared" si="415"/>
        <v>0</v>
      </c>
      <c r="Z398" s="385">
        <f t="shared" si="415"/>
        <v>0</v>
      </c>
      <c r="AA398" s="385">
        <f t="shared" si="415"/>
        <v>0</v>
      </c>
      <c r="AB398" s="385">
        <f t="shared" si="415"/>
        <v>0</v>
      </c>
      <c r="AC398" s="385">
        <f t="shared" si="415"/>
        <v>0</v>
      </c>
      <c r="AD398" s="385">
        <f t="shared" si="415"/>
        <v>0</v>
      </c>
      <c r="AE398" s="385">
        <f t="shared" si="415"/>
        <v>0</v>
      </c>
      <c r="AF398" s="385">
        <f t="shared" si="415"/>
        <v>0</v>
      </c>
      <c r="AG398" s="385">
        <f t="shared" si="415"/>
        <v>0</v>
      </c>
      <c r="AH398" s="385">
        <f t="shared" si="415"/>
        <v>0</v>
      </c>
      <c r="AI398" s="385">
        <f t="shared" si="415"/>
        <v>0</v>
      </c>
      <c r="AJ398" s="385">
        <f t="shared" si="415"/>
        <v>0</v>
      </c>
      <c r="AK398" s="385">
        <f t="shared" si="415"/>
        <v>0</v>
      </c>
      <c r="AL398" s="385">
        <f t="shared" si="415"/>
        <v>0</v>
      </c>
      <c r="AM398" s="385">
        <f t="shared" si="415"/>
        <v>0</v>
      </c>
      <c r="AN398" s="489">
        <f t="shared" si="415"/>
        <v>0</v>
      </c>
      <c r="AO398" s="385">
        <f t="shared" si="415"/>
        <v>0</v>
      </c>
      <c r="AP398" s="385">
        <f t="shared" si="415"/>
        <v>0</v>
      </c>
      <c r="AQ398" s="385">
        <f t="shared" si="415"/>
        <v>0</v>
      </c>
      <c r="AR398" s="385">
        <f t="shared" si="415"/>
        <v>0</v>
      </c>
      <c r="AS398" s="385">
        <f t="shared" si="415"/>
        <v>0</v>
      </c>
      <c r="AT398" s="385">
        <f t="shared" si="415"/>
        <v>0</v>
      </c>
      <c r="AU398" s="385">
        <f t="shared" si="415"/>
        <v>0</v>
      </c>
      <c r="AV398" s="385">
        <f t="shared" si="415"/>
        <v>0</v>
      </c>
      <c r="AW398" s="385">
        <f t="shared" si="415"/>
        <v>0</v>
      </c>
      <c r="AX398" s="385">
        <f t="shared" si="415"/>
        <v>0</v>
      </c>
      <c r="AY398" s="385">
        <f t="shared" si="415"/>
        <v>0</v>
      </c>
    </row>
    <row r="399" spans="1:51" x14ac:dyDescent="0.2">
      <c r="A399" s="376"/>
      <c r="B399" s="383"/>
      <c r="C399" s="376" t="s">
        <v>266</v>
      </c>
      <c r="D399" s="376"/>
      <c r="E399" s="488"/>
      <c r="F399" s="384"/>
      <c r="G399" s="379">
        <f t="shared" ref="G399:AY399" si="416">MIN(G311:G396)</f>
        <v>1875</v>
      </c>
      <c r="H399" s="379">
        <f t="shared" si="416"/>
        <v>741</v>
      </c>
      <c r="I399" s="379">
        <f t="shared" si="416"/>
        <v>48.5</v>
      </c>
      <c r="J399" s="379">
        <f t="shared" si="416"/>
        <v>0</v>
      </c>
      <c r="K399" s="379">
        <f t="shared" si="416"/>
        <v>704</v>
      </c>
      <c r="L399" s="379">
        <f t="shared" si="416"/>
        <v>0</v>
      </c>
      <c r="M399" s="379">
        <f t="shared" si="416"/>
        <v>0</v>
      </c>
      <c r="N399" s="379">
        <f t="shared" si="416"/>
        <v>0</v>
      </c>
      <c r="O399" s="379">
        <f t="shared" si="416"/>
        <v>0</v>
      </c>
      <c r="P399" s="379">
        <f t="shared" si="416"/>
        <v>0</v>
      </c>
      <c r="Q399" s="379">
        <f t="shared" si="416"/>
        <v>0</v>
      </c>
      <c r="R399" s="379">
        <f t="shared" si="416"/>
        <v>0</v>
      </c>
      <c r="S399" s="379">
        <f t="shared" si="416"/>
        <v>0</v>
      </c>
      <c r="T399" s="379">
        <f t="shared" si="416"/>
        <v>0</v>
      </c>
      <c r="U399" s="379">
        <f t="shared" si="416"/>
        <v>0</v>
      </c>
      <c r="V399" s="379">
        <f t="shared" si="416"/>
        <v>0</v>
      </c>
      <c r="W399" s="379">
        <f t="shared" si="416"/>
        <v>0</v>
      </c>
      <c r="X399" s="379">
        <f t="shared" si="416"/>
        <v>0</v>
      </c>
      <c r="Y399" s="379">
        <f t="shared" si="416"/>
        <v>0</v>
      </c>
      <c r="Z399" s="379">
        <f t="shared" si="416"/>
        <v>0</v>
      </c>
      <c r="AA399" s="379">
        <f t="shared" si="416"/>
        <v>0</v>
      </c>
      <c r="AB399" s="379">
        <f t="shared" si="416"/>
        <v>0</v>
      </c>
      <c r="AC399" s="379">
        <f t="shared" si="416"/>
        <v>0</v>
      </c>
      <c r="AD399" s="379">
        <f t="shared" si="416"/>
        <v>0</v>
      </c>
      <c r="AE399" s="379">
        <f t="shared" si="416"/>
        <v>0</v>
      </c>
      <c r="AF399" s="379">
        <f t="shared" si="416"/>
        <v>0</v>
      </c>
      <c r="AG399" s="379">
        <f t="shared" si="416"/>
        <v>0</v>
      </c>
      <c r="AH399" s="379">
        <f t="shared" si="416"/>
        <v>0</v>
      </c>
      <c r="AI399" s="379">
        <f t="shared" si="416"/>
        <v>0</v>
      </c>
      <c r="AJ399" s="379">
        <f t="shared" si="416"/>
        <v>0</v>
      </c>
      <c r="AK399" s="379">
        <f t="shared" si="416"/>
        <v>0</v>
      </c>
      <c r="AL399" s="379">
        <f t="shared" si="416"/>
        <v>0</v>
      </c>
      <c r="AM399" s="379">
        <f t="shared" si="416"/>
        <v>0</v>
      </c>
      <c r="AN399" s="490">
        <f t="shared" si="416"/>
        <v>0</v>
      </c>
      <c r="AO399" s="379">
        <f t="shared" si="416"/>
        <v>0</v>
      </c>
      <c r="AP399" s="379">
        <f t="shared" si="416"/>
        <v>0</v>
      </c>
      <c r="AQ399" s="379">
        <f t="shared" si="416"/>
        <v>0</v>
      </c>
      <c r="AR399" s="379">
        <f t="shared" si="416"/>
        <v>0</v>
      </c>
      <c r="AS399" s="379">
        <f t="shared" si="416"/>
        <v>0</v>
      </c>
      <c r="AT399" s="379">
        <f t="shared" si="416"/>
        <v>0</v>
      </c>
      <c r="AU399" s="379">
        <f t="shared" si="416"/>
        <v>0</v>
      </c>
      <c r="AV399" s="379">
        <f t="shared" si="416"/>
        <v>0</v>
      </c>
      <c r="AW399" s="379">
        <f t="shared" si="416"/>
        <v>0</v>
      </c>
      <c r="AX399" s="379">
        <f t="shared" si="416"/>
        <v>0</v>
      </c>
      <c r="AY399" s="379">
        <f t="shared" si="416"/>
        <v>0</v>
      </c>
    </row>
    <row r="400" spans="1:51" x14ac:dyDescent="0.2">
      <c r="A400" s="376"/>
      <c r="B400" s="383"/>
      <c r="C400" s="376" t="s">
        <v>267</v>
      </c>
      <c r="D400" s="376"/>
      <c r="E400" s="488"/>
      <c r="F400" s="384"/>
      <c r="G400" s="379">
        <f t="shared" ref="G400:AY400" si="417">MAX(G311:G396)</f>
        <v>94011</v>
      </c>
      <c r="H400" s="379">
        <f t="shared" si="417"/>
        <v>66726</v>
      </c>
      <c r="I400" s="379">
        <f t="shared" si="417"/>
        <v>659</v>
      </c>
      <c r="J400" s="379">
        <f t="shared" si="417"/>
        <v>0</v>
      </c>
      <c r="K400" s="379">
        <f t="shared" si="417"/>
        <v>42879</v>
      </c>
      <c r="L400" s="379">
        <f t="shared" si="417"/>
        <v>0</v>
      </c>
      <c r="M400" s="379">
        <f t="shared" si="417"/>
        <v>43218</v>
      </c>
      <c r="N400" s="379">
        <f t="shared" si="417"/>
        <v>36156</v>
      </c>
      <c r="O400" s="379">
        <f t="shared" si="417"/>
        <v>32079</v>
      </c>
      <c r="P400" s="379">
        <f t="shared" si="417"/>
        <v>0</v>
      </c>
      <c r="Q400" s="379">
        <f t="shared" si="417"/>
        <v>0</v>
      </c>
      <c r="R400" s="379">
        <f t="shared" si="417"/>
        <v>0</v>
      </c>
      <c r="S400" s="379">
        <f t="shared" si="417"/>
        <v>0</v>
      </c>
      <c r="T400" s="379">
        <f t="shared" si="417"/>
        <v>0</v>
      </c>
      <c r="U400" s="379">
        <f t="shared" si="417"/>
        <v>0</v>
      </c>
      <c r="V400" s="379">
        <f t="shared" si="417"/>
        <v>0</v>
      </c>
      <c r="W400" s="379">
        <f t="shared" si="417"/>
        <v>0</v>
      </c>
      <c r="X400" s="379">
        <f t="shared" si="417"/>
        <v>0</v>
      </c>
      <c r="Y400" s="379">
        <f t="shared" si="417"/>
        <v>0</v>
      </c>
      <c r="Z400" s="379">
        <f t="shared" si="417"/>
        <v>0</v>
      </c>
      <c r="AA400" s="379">
        <f t="shared" si="417"/>
        <v>0</v>
      </c>
      <c r="AB400" s="379">
        <f t="shared" si="417"/>
        <v>0</v>
      </c>
      <c r="AC400" s="379">
        <f t="shared" si="417"/>
        <v>0</v>
      </c>
      <c r="AD400" s="379">
        <f t="shared" si="417"/>
        <v>0</v>
      </c>
      <c r="AE400" s="379">
        <f t="shared" si="417"/>
        <v>0</v>
      </c>
      <c r="AF400" s="379">
        <f t="shared" si="417"/>
        <v>0</v>
      </c>
      <c r="AG400" s="379">
        <f t="shared" si="417"/>
        <v>0</v>
      </c>
      <c r="AH400" s="379">
        <f t="shared" si="417"/>
        <v>0</v>
      </c>
      <c r="AI400" s="379">
        <f t="shared" si="417"/>
        <v>0</v>
      </c>
      <c r="AJ400" s="379">
        <f t="shared" si="417"/>
        <v>0</v>
      </c>
      <c r="AK400" s="379">
        <f t="shared" si="417"/>
        <v>0</v>
      </c>
      <c r="AL400" s="379">
        <f t="shared" si="417"/>
        <v>0</v>
      </c>
      <c r="AM400" s="379">
        <f t="shared" si="417"/>
        <v>0</v>
      </c>
      <c r="AN400" s="490">
        <f t="shared" si="417"/>
        <v>0</v>
      </c>
      <c r="AO400" s="379">
        <f t="shared" si="417"/>
        <v>0</v>
      </c>
      <c r="AP400" s="379">
        <f t="shared" si="417"/>
        <v>0</v>
      </c>
      <c r="AQ400" s="379">
        <f t="shared" si="417"/>
        <v>0</v>
      </c>
      <c r="AR400" s="379">
        <f t="shared" si="417"/>
        <v>0</v>
      </c>
      <c r="AS400" s="379">
        <f t="shared" si="417"/>
        <v>0</v>
      </c>
      <c r="AT400" s="379">
        <f t="shared" si="417"/>
        <v>0</v>
      </c>
      <c r="AU400" s="379">
        <f t="shared" si="417"/>
        <v>0</v>
      </c>
      <c r="AV400" s="379">
        <f t="shared" si="417"/>
        <v>0</v>
      </c>
      <c r="AW400" s="379">
        <f t="shared" si="417"/>
        <v>0</v>
      </c>
      <c r="AX400" s="379">
        <f t="shared" si="417"/>
        <v>0</v>
      </c>
      <c r="AY400" s="379">
        <f t="shared" si="417"/>
        <v>0</v>
      </c>
    </row>
    <row r="401" spans="1:51" x14ac:dyDescent="0.2">
      <c r="A401" s="376"/>
      <c r="B401" s="383"/>
      <c r="C401" s="376" t="s">
        <v>268</v>
      </c>
      <c r="D401" s="376"/>
      <c r="E401" s="488"/>
      <c r="F401" s="384"/>
      <c r="G401" s="379">
        <f t="shared" ref="G401:AY401" si="418">AVERAGE(G311:G396)</f>
        <v>21177.244186046511</v>
      </c>
      <c r="H401" s="379">
        <f t="shared" si="418"/>
        <v>9452.1744186046508</v>
      </c>
      <c r="I401" s="379">
        <f t="shared" si="418"/>
        <v>342.93779069767442</v>
      </c>
      <c r="J401" s="379" t="e">
        <f t="shared" si="418"/>
        <v>#DIV/0!</v>
      </c>
      <c r="K401" s="379">
        <f t="shared" si="418"/>
        <v>8158.0813953488368</v>
      </c>
      <c r="L401" s="379">
        <f t="shared" si="418"/>
        <v>0</v>
      </c>
      <c r="M401" s="379">
        <f t="shared" si="418"/>
        <v>7646.2558139534885</v>
      </c>
      <c r="N401" s="379">
        <f t="shared" si="418"/>
        <v>2543.4069767441861</v>
      </c>
      <c r="O401" s="379">
        <f t="shared" si="418"/>
        <v>2868.546511627907</v>
      </c>
      <c r="P401" s="379">
        <f t="shared" si="418"/>
        <v>0</v>
      </c>
      <c r="Q401" s="379">
        <f t="shared" si="418"/>
        <v>0</v>
      </c>
      <c r="R401" s="379">
        <f t="shared" si="418"/>
        <v>0</v>
      </c>
      <c r="S401" s="379">
        <f t="shared" si="418"/>
        <v>0</v>
      </c>
      <c r="T401" s="379">
        <f t="shared" si="418"/>
        <v>0</v>
      </c>
      <c r="U401" s="379">
        <f t="shared" si="418"/>
        <v>0</v>
      </c>
      <c r="V401" s="379">
        <f t="shared" si="418"/>
        <v>0</v>
      </c>
      <c r="W401" s="379">
        <f t="shared" si="418"/>
        <v>0</v>
      </c>
      <c r="X401" s="379">
        <f t="shared" si="418"/>
        <v>0</v>
      </c>
      <c r="Y401" s="379">
        <f t="shared" si="418"/>
        <v>0</v>
      </c>
      <c r="Z401" s="379">
        <f t="shared" si="418"/>
        <v>0</v>
      </c>
      <c r="AA401" s="379">
        <f t="shared" si="418"/>
        <v>0</v>
      </c>
      <c r="AB401" s="379">
        <f t="shared" si="418"/>
        <v>0</v>
      </c>
      <c r="AC401" s="379">
        <f t="shared" si="418"/>
        <v>0</v>
      </c>
      <c r="AD401" s="379">
        <f t="shared" si="418"/>
        <v>0</v>
      </c>
      <c r="AE401" s="379">
        <f t="shared" si="418"/>
        <v>0</v>
      </c>
      <c r="AF401" s="379">
        <f t="shared" si="418"/>
        <v>0</v>
      </c>
      <c r="AG401" s="379">
        <f t="shared" si="418"/>
        <v>0</v>
      </c>
      <c r="AH401" s="379">
        <f t="shared" si="418"/>
        <v>0</v>
      </c>
      <c r="AI401" s="379">
        <f t="shared" si="418"/>
        <v>0</v>
      </c>
      <c r="AJ401" s="379">
        <f t="shared" si="418"/>
        <v>0</v>
      </c>
      <c r="AK401" s="379">
        <f t="shared" si="418"/>
        <v>0</v>
      </c>
      <c r="AL401" s="379">
        <f t="shared" si="418"/>
        <v>0</v>
      </c>
      <c r="AM401" s="379">
        <f t="shared" si="418"/>
        <v>0</v>
      </c>
      <c r="AN401" s="490">
        <f t="shared" si="418"/>
        <v>0</v>
      </c>
      <c r="AO401" s="379">
        <f t="shared" si="418"/>
        <v>0</v>
      </c>
      <c r="AP401" s="379">
        <f t="shared" si="418"/>
        <v>0</v>
      </c>
      <c r="AQ401" s="379">
        <f t="shared" si="418"/>
        <v>0</v>
      </c>
      <c r="AR401" s="379">
        <f t="shared" si="418"/>
        <v>0</v>
      </c>
      <c r="AS401" s="379">
        <f t="shared" si="418"/>
        <v>0</v>
      </c>
      <c r="AT401" s="379">
        <f t="shared" si="418"/>
        <v>0</v>
      </c>
      <c r="AU401" s="379">
        <f t="shared" si="418"/>
        <v>0</v>
      </c>
      <c r="AV401" s="379">
        <f t="shared" si="418"/>
        <v>0</v>
      </c>
      <c r="AW401" s="379">
        <f t="shared" si="418"/>
        <v>0</v>
      </c>
      <c r="AX401" s="379">
        <f t="shared" si="418"/>
        <v>0</v>
      </c>
      <c r="AY401" s="379">
        <f t="shared" si="418"/>
        <v>0</v>
      </c>
    </row>
    <row r="402" spans="1:51" ht="13.5" thickBot="1" x14ac:dyDescent="0.25">
      <c r="A402" s="386"/>
      <c r="B402" s="387"/>
      <c r="C402" s="386" t="s">
        <v>269</v>
      </c>
      <c r="D402" s="386"/>
      <c r="E402" s="491"/>
      <c r="F402" s="384"/>
      <c r="G402" s="388">
        <f t="shared" ref="G402:AY402" si="419">MEDIAN(G311:G396)</f>
        <v>12548</v>
      </c>
      <c r="H402" s="388">
        <f t="shared" si="419"/>
        <v>5124</v>
      </c>
      <c r="I402" s="388">
        <f t="shared" si="419"/>
        <v>338.95</v>
      </c>
      <c r="J402" s="388" t="e">
        <f t="shared" si="419"/>
        <v>#NUM!</v>
      </c>
      <c r="K402" s="388">
        <f t="shared" si="419"/>
        <v>4188</v>
      </c>
      <c r="L402" s="388">
        <f t="shared" si="419"/>
        <v>0</v>
      </c>
      <c r="M402" s="388">
        <f t="shared" si="419"/>
        <v>4042</v>
      </c>
      <c r="N402" s="388">
        <f t="shared" si="419"/>
        <v>0</v>
      </c>
      <c r="O402" s="388">
        <f t="shared" si="419"/>
        <v>0</v>
      </c>
      <c r="P402" s="388">
        <f t="shared" si="419"/>
        <v>0</v>
      </c>
      <c r="Q402" s="388">
        <f t="shared" si="419"/>
        <v>0</v>
      </c>
      <c r="R402" s="388">
        <f t="shared" si="419"/>
        <v>0</v>
      </c>
      <c r="S402" s="388">
        <f t="shared" si="419"/>
        <v>0</v>
      </c>
      <c r="T402" s="388">
        <f t="shared" si="419"/>
        <v>0</v>
      </c>
      <c r="U402" s="388">
        <f t="shared" si="419"/>
        <v>0</v>
      </c>
      <c r="V402" s="388">
        <f t="shared" si="419"/>
        <v>0</v>
      </c>
      <c r="W402" s="388">
        <f t="shared" si="419"/>
        <v>0</v>
      </c>
      <c r="X402" s="388">
        <f t="shared" si="419"/>
        <v>0</v>
      </c>
      <c r="Y402" s="388">
        <f t="shared" si="419"/>
        <v>0</v>
      </c>
      <c r="Z402" s="388">
        <f t="shared" si="419"/>
        <v>0</v>
      </c>
      <c r="AA402" s="388">
        <f t="shared" si="419"/>
        <v>0</v>
      </c>
      <c r="AB402" s="388">
        <f t="shared" si="419"/>
        <v>0</v>
      </c>
      <c r="AC402" s="388">
        <f t="shared" si="419"/>
        <v>0</v>
      </c>
      <c r="AD402" s="388">
        <f t="shared" si="419"/>
        <v>0</v>
      </c>
      <c r="AE402" s="388">
        <f t="shared" si="419"/>
        <v>0</v>
      </c>
      <c r="AF402" s="388">
        <f t="shared" si="419"/>
        <v>0</v>
      </c>
      <c r="AG402" s="388">
        <f t="shared" si="419"/>
        <v>0</v>
      </c>
      <c r="AH402" s="388">
        <f t="shared" si="419"/>
        <v>0</v>
      </c>
      <c r="AI402" s="388">
        <f t="shared" si="419"/>
        <v>0</v>
      </c>
      <c r="AJ402" s="388">
        <f t="shared" si="419"/>
        <v>0</v>
      </c>
      <c r="AK402" s="388">
        <f t="shared" si="419"/>
        <v>0</v>
      </c>
      <c r="AL402" s="388">
        <f t="shared" si="419"/>
        <v>0</v>
      </c>
      <c r="AM402" s="388">
        <f t="shared" si="419"/>
        <v>0</v>
      </c>
      <c r="AN402" s="492">
        <f t="shared" si="419"/>
        <v>0</v>
      </c>
      <c r="AO402" s="388">
        <f t="shared" si="419"/>
        <v>0</v>
      </c>
      <c r="AP402" s="388">
        <f t="shared" si="419"/>
        <v>0</v>
      </c>
      <c r="AQ402" s="388">
        <f t="shared" si="419"/>
        <v>0</v>
      </c>
      <c r="AR402" s="388">
        <f t="shared" si="419"/>
        <v>0</v>
      </c>
      <c r="AS402" s="388">
        <f t="shared" si="419"/>
        <v>0</v>
      </c>
      <c r="AT402" s="388">
        <f t="shared" si="419"/>
        <v>0</v>
      </c>
      <c r="AU402" s="388">
        <f t="shared" si="419"/>
        <v>0</v>
      </c>
      <c r="AV402" s="388">
        <f t="shared" si="419"/>
        <v>0</v>
      </c>
      <c r="AW402" s="388">
        <f t="shared" si="419"/>
        <v>0</v>
      </c>
      <c r="AX402" s="388">
        <f t="shared" si="419"/>
        <v>0</v>
      </c>
      <c r="AY402" s="388">
        <f t="shared" si="419"/>
        <v>0</v>
      </c>
    </row>
    <row r="403" spans="1:51" ht="13.5" thickTop="1" x14ac:dyDescent="0.2">
      <c r="B403" s="493" t="s">
        <v>261</v>
      </c>
      <c r="F403"/>
      <c r="G403"/>
      <c r="H403"/>
      <c r="I403"/>
      <c r="J403"/>
      <c r="K403"/>
      <c r="L403" s="278"/>
    </row>
    <row r="404" spans="1:51" x14ac:dyDescent="0.2">
      <c r="B404" s="493"/>
      <c r="G404" s="370"/>
      <c r="H404" s="370"/>
      <c r="I404" s="370"/>
      <c r="J404" s="370"/>
      <c r="K404" s="370"/>
      <c r="L404" s="370"/>
    </row>
    <row r="405" spans="1:51" x14ac:dyDescent="0.2">
      <c r="G405" s="370"/>
      <c r="H405" s="370"/>
      <c r="I405" s="370"/>
      <c r="J405" s="370"/>
      <c r="K405" s="370"/>
      <c r="L405" s="370"/>
    </row>
    <row r="406" spans="1:51" ht="15.75" x14ac:dyDescent="0.25">
      <c r="A406" s="371" t="s">
        <v>263</v>
      </c>
      <c r="B406" s="372"/>
      <c r="C406" s="501"/>
      <c r="D406" s="506"/>
      <c r="E406" s="373"/>
      <c r="F406" s="374"/>
      <c r="G406" s="375"/>
      <c r="H406" s="375"/>
      <c r="I406" s="375"/>
      <c r="J406" s="375"/>
      <c r="K406" s="375"/>
      <c r="L406" s="375"/>
    </row>
    <row r="407" spans="1:51" x14ac:dyDescent="0.2">
      <c r="A407" s="377">
        <v>10500</v>
      </c>
      <c r="B407" s="378" t="str">
        <f t="shared" ref="B407:B448" si="420">VLOOKUP($A407,$A$5:$L$133,2,FALSE)</f>
        <v xml:space="preserve">Bayside Council </v>
      </c>
      <c r="C407" s="377" t="str">
        <f t="shared" ref="C407:C448" si="421">VLOOKUP($A407,$A$5:$L$133,3,FALSE)</f>
        <v>SSROC</v>
      </c>
      <c r="D407" s="503" t="str">
        <f t="shared" ref="D407:D448" si="422">VLOOKUP($A407,$A$5:$L$133,4,FALSE)</f>
        <v>S</v>
      </c>
      <c r="E407" s="503"/>
      <c r="F407"/>
      <c r="G407" s="379">
        <f t="shared" ref="G407:G448" si="423">VLOOKUP($A407,$A$5:$AY$132,7,FALSE)</f>
        <v>160944</v>
      </c>
      <c r="H407" s="379">
        <f t="shared" ref="H407:H448" si="424">VLOOKUP($A407,$A$5:$AY$132,8,FALSE)</f>
        <v>58760</v>
      </c>
      <c r="I407" s="379">
        <f t="shared" ref="I407:I448" si="425">VLOOKUP($A407,$A$5:$AY$132,9,FALSE)</f>
        <v>462</v>
      </c>
      <c r="J407" s="379" t="str">
        <f t="shared" ref="J407:J448" si="426">VLOOKUP($A407,$A$5:$AY$132,10,FALSE)</f>
        <v>Y</v>
      </c>
      <c r="K407" s="379">
        <f t="shared" ref="K407:K448" si="427">VLOOKUP($A407,$A$5:$AY$132,11,FALSE)</f>
        <v>42095</v>
      </c>
      <c r="L407" s="379" t="str">
        <f t="shared" ref="L407:L448" si="428">VLOOKUP($A407,$A$5:$AY$132,12,FALSE)</f>
        <v>Y</v>
      </c>
      <c r="M407" s="379">
        <f t="shared" ref="M407:M448" si="429">VLOOKUP($A407,$A$4:$AY$132,13,FALSE)</f>
        <v>43087</v>
      </c>
      <c r="N407" s="379">
        <f t="shared" ref="N407:N448" si="430">VLOOKUP($A407,$A$4:$AY$132,14,FALSE)</f>
        <v>8167</v>
      </c>
      <c r="O407" s="379">
        <f t="shared" ref="O407:O448" si="431">VLOOKUP($A407,$A$4:$AY$132,15,FALSE)</f>
        <v>0</v>
      </c>
      <c r="P407" s="379" t="str">
        <f t="shared" ref="P407:P448" si="432">VLOOKUP($A407,$A$4:$AY$132,16,FALSE)</f>
        <v>Y</v>
      </c>
      <c r="Q407" s="379">
        <f t="shared" ref="Q407:Q448" si="433">VLOOKUP($A407,$A$4:$AY$132,17,FALSE)</f>
        <v>0</v>
      </c>
      <c r="R407" s="379">
        <f t="shared" ref="R407:R448" si="434">VLOOKUP($A407,$A$4:$AY$132,18,FALSE)</f>
        <v>0</v>
      </c>
      <c r="S407" s="379">
        <f t="shared" ref="S407:S448" si="435">VLOOKUP($A407,$A$4:$AY$132,19,FALSE)</f>
        <v>0</v>
      </c>
      <c r="T407" s="379">
        <f t="shared" ref="T407:T448" si="436">VLOOKUP($A407,$A$4:$AY$132,20,FALSE)</f>
        <v>0</v>
      </c>
      <c r="U407" s="379">
        <f t="shared" ref="U407:U448" si="437">VLOOKUP($A407,$A$4:$AY$132,21,FALSE)</f>
        <v>0</v>
      </c>
      <c r="V407" s="379">
        <f t="shared" ref="V407:V448" si="438">VLOOKUP($A407,$A$4:$AY$132,22,FALSE)</f>
        <v>0</v>
      </c>
      <c r="W407" s="379">
        <f t="shared" ref="W407:W448" si="439">VLOOKUP($A407,$A$4:$AY$132,23,FALSE)</f>
        <v>0</v>
      </c>
      <c r="X407" s="379">
        <f t="shared" ref="X407:X448" si="440">VLOOKUP($A407,$A$4:$AY$132,24,FALSE)</f>
        <v>0</v>
      </c>
      <c r="Y407" s="379">
        <f t="shared" ref="Y407:Y448" si="441">VLOOKUP($A407,$A$4:$AY$132,25,FALSE)</f>
        <v>0</v>
      </c>
      <c r="Z407" s="379">
        <f t="shared" ref="Z407:Z448" si="442">VLOOKUP($A407,$A$4:$AY$132,26,FALSE)</f>
        <v>0</v>
      </c>
      <c r="AA407" s="379">
        <f t="shared" ref="AA407:AA448" si="443">VLOOKUP($A407,$A$4:$AY$132,27,FALSE)</f>
        <v>0</v>
      </c>
      <c r="AB407" s="379">
        <f t="shared" ref="AB407:AB448" si="444">VLOOKUP($A407,$A$4:$AY$132,28,FALSE)</f>
        <v>0</v>
      </c>
      <c r="AC407" s="379">
        <f t="shared" ref="AC407:AC448" si="445">VLOOKUP($A407,$A$4:$AY$132,29,FALSE)</f>
        <v>0</v>
      </c>
      <c r="AD407" s="379">
        <f t="shared" ref="AD407:AD448" si="446">VLOOKUP($A407,$A$4:$AY$132,30,FALSE)</f>
        <v>0</v>
      </c>
      <c r="AE407" s="379">
        <f t="shared" ref="AE407:AE448" si="447">VLOOKUP($A407,$A$4:$AY$132,31,FALSE)</f>
        <v>0</v>
      </c>
      <c r="AF407" s="379">
        <f t="shared" ref="AF407:AF448" si="448">VLOOKUP($A407,$A$4:$AY$132,32,FALSE)</f>
        <v>0</v>
      </c>
      <c r="AG407" s="379">
        <f t="shared" ref="AG407:AG448" si="449">VLOOKUP($A407,$A$4:$AY$132,33,FALSE)</f>
        <v>0</v>
      </c>
      <c r="AH407" s="379">
        <f t="shared" ref="AH407:AH448" si="450">VLOOKUP($A407,$A$4:$AY$132,34,FALSE)</f>
        <v>0</v>
      </c>
      <c r="AI407" s="379">
        <f t="shared" ref="AI407:AI448" si="451">VLOOKUP($A407,$A$4:$AY$132,35,FALSE)</f>
        <v>0</v>
      </c>
      <c r="AJ407" s="379">
        <f t="shared" ref="AJ407:AJ448" si="452">VLOOKUP($A407,$A$4:$AY$132,36,FALSE)</f>
        <v>0</v>
      </c>
      <c r="AK407" s="379">
        <f t="shared" ref="AK407:AK448" si="453">VLOOKUP($A407,$A$4:$AY$132,37,FALSE)</f>
        <v>0</v>
      </c>
      <c r="AL407" s="379">
        <f t="shared" ref="AL407:AL448" si="454">VLOOKUP($A407,$A$4:$AY$132,38,FALSE)</f>
        <v>0</v>
      </c>
      <c r="AM407" s="379">
        <f t="shared" ref="AM407:AM448" si="455">VLOOKUP($A407,$A$4:$AY$132,39,FALSE)</f>
        <v>0</v>
      </c>
      <c r="AN407" s="490">
        <f t="shared" ref="AN407:AN448" si="456">VLOOKUP($A407,$A$4:$AY$132,40,FALSE)</f>
        <v>0</v>
      </c>
      <c r="AO407" s="379">
        <f t="shared" ref="AO407:AO448" si="457">VLOOKUP($A407,$A$4:$AY$132,41,FALSE)</f>
        <v>0</v>
      </c>
      <c r="AP407" s="379">
        <f t="shared" ref="AP407:AP448" si="458">VLOOKUP($A407,$A$4:$AY$132,42,FALSE)</f>
        <v>0</v>
      </c>
      <c r="AQ407" s="379">
        <f t="shared" ref="AQ407:AQ448" si="459">VLOOKUP($A407,$A$4:$AY$132,43,FALSE)</f>
        <v>0</v>
      </c>
      <c r="AR407" s="379">
        <f t="shared" ref="AR407:AR448" si="460">VLOOKUP($A407,$A$4:$AY$132,44,FALSE)</f>
        <v>0</v>
      </c>
      <c r="AS407" s="379">
        <f t="shared" ref="AS407:AS448" si="461">VLOOKUP($A407,$A$4:$AY$132,45,FALSE)</f>
        <v>0</v>
      </c>
      <c r="AT407" s="379">
        <f t="shared" ref="AT407:AT448" si="462">VLOOKUP($A407,$A$4:$AY$132,46,FALSE)</f>
        <v>0</v>
      </c>
      <c r="AU407" s="379">
        <f t="shared" ref="AU407:AU448" si="463">VLOOKUP($A407,$A$4:$AY$132,47,FALSE)</f>
        <v>0</v>
      </c>
      <c r="AV407" s="379">
        <f t="shared" ref="AV407:AV448" si="464">VLOOKUP($A407,$A$4:$AY$132,48,FALSE)</f>
        <v>0</v>
      </c>
      <c r="AW407" s="379">
        <f t="shared" ref="AW407:AW448" si="465">VLOOKUP($A407,$A$4:$AY$132,49,FALSE)</f>
        <v>0</v>
      </c>
      <c r="AX407" s="379">
        <f t="shared" ref="AX407:AX448" si="466">VLOOKUP($A407,$A$4:$AY$132,50,FALSE)</f>
        <v>0</v>
      </c>
      <c r="AY407" s="379">
        <f t="shared" ref="AY407:AY448" si="467">VLOOKUP($A407,$A$4:$AY$132,51,FALSE)</f>
        <v>0</v>
      </c>
    </row>
    <row r="408" spans="1:51" x14ac:dyDescent="0.2">
      <c r="A408" s="376">
        <v>10750</v>
      </c>
      <c r="B408" s="378" t="str">
        <f t="shared" si="420"/>
        <v>Blacktown (C)</v>
      </c>
      <c r="C408" s="377" t="str">
        <f t="shared" si="421"/>
        <v>WSROC</v>
      </c>
      <c r="D408" s="503" t="str">
        <f t="shared" si="422"/>
        <v>S</v>
      </c>
      <c r="E408" s="503"/>
      <c r="F408"/>
      <c r="G408" s="379">
        <f t="shared" si="423"/>
        <v>348138</v>
      </c>
      <c r="H408" s="379">
        <f t="shared" si="424"/>
        <v>122906</v>
      </c>
      <c r="I408" s="379">
        <f t="shared" si="425"/>
        <v>472</v>
      </c>
      <c r="J408" s="379" t="str">
        <f t="shared" si="426"/>
        <v>Y</v>
      </c>
      <c r="K408" s="379">
        <f t="shared" si="427"/>
        <v>106113</v>
      </c>
      <c r="L408" s="379" t="str">
        <f t="shared" si="428"/>
        <v>Y</v>
      </c>
      <c r="M408" s="379">
        <f t="shared" si="429"/>
        <v>105000</v>
      </c>
      <c r="N408" s="379">
        <f t="shared" si="430"/>
        <v>0</v>
      </c>
      <c r="O408" s="379">
        <f t="shared" si="431"/>
        <v>0</v>
      </c>
      <c r="P408" s="379" t="str">
        <f t="shared" si="432"/>
        <v>Y</v>
      </c>
      <c r="Q408" s="379" t="str">
        <f t="shared" si="433"/>
        <v>Y</v>
      </c>
      <c r="R408" s="379" t="str">
        <f t="shared" si="434"/>
        <v>Chemical Cleanout - Depot</v>
      </c>
      <c r="S408" s="379">
        <f t="shared" si="435"/>
        <v>0</v>
      </c>
      <c r="T408" s="379">
        <f t="shared" si="436"/>
        <v>0</v>
      </c>
      <c r="U408" s="379">
        <f t="shared" si="437"/>
        <v>0</v>
      </c>
      <c r="V408" s="379">
        <f t="shared" si="438"/>
        <v>0</v>
      </c>
      <c r="W408" s="379">
        <f t="shared" si="439"/>
        <v>0</v>
      </c>
      <c r="X408" s="379">
        <f t="shared" si="440"/>
        <v>0</v>
      </c>
      <c r="Y408" s="379">
        <f t="shared" si="441"/>
        <v>0</v>
      </c>
      <c r="Z408" s="379">
        <f t="shared" si="442"/>
        <v>0</v>
      </c>
      <c r="AA408" s="379">
        <f t="shared" si="443"/>
        <v>0</v>
      </c>
      <c r="AB408" s="379">
        <f t="shared" si="444"/>
        <v>0</v>
      </c>
      <c r="AC408" s="379">
        <f t="shared" si="445"/>
        <v>0</v>
      </c>
      <c r="AD408" s="379">
        <f t="shared" si="446"/>
        <v>0</v>
      </c>
      <c r="AE408" s="379">
        <f t="shared" si="447"/>
        <v>0</v>
      </c>
      <c r="AF408" s="379">
        <f t="shared" si="448"/>
        <v>0</v>
      </c>
      <c r="AG408" s="379">
        <f t="shared" si="449"/>
        <v>0</v>
      </c>
      <c r="AH408" s="379">
        <f t="shared" si="450"/>
        <v>0</v>
      </c>
      <c r="AI408" s="379">
        <f t="shared" si="451"/>
        <v>0</v>
      </c>
      <c r="AJ408" s="379">
        <f t="shared" si="452"/>
        <v>0</v>
      </c>
      <c r="AK408" s="379">
        <f t="shared" si="453"/>
        <v>0</v>
      </c>
      <c r="AL408" s="379">
        <f t="shared" si="454"/>
        <v>0</v>
      </c>
      <c r="AM408" s="379">
        <f t="shared" si="455"/>
        <v>0</v>
      </c>
      <c r="AN408" s="490">
        <f t="shared" si="456"/>
        <v>0</v>
      </c>
      <c r="AO408" s="379">
        <f t="shared" si="457"/>
        <v>0</v>
      </c>
      <c r="AP408" s="379">
        <f t="shared" si="458"/>
        <v>0</v>
      </c>
      <c r="AQ408" s="379">
        <f t="shared" si="459"/>
        <v>0</v>
      </c>
      <c r="AR408" s="379">
        <f t="shared" si="460"/>
        <v>0</v>
      </c>
      <c r="AS408" s="379">
        <f t="shared" si="461"/>
        <v>0</v>
      </c>
      <c r="AT408" s="379">
        <f t="shared" si="462"/>
        <v>0</v>
      </c>
      <c r="AU408" s="379">
        <f t="shared" si="463"/>
        <v>0</v>
      </c>
      <c r="AV408" s="379">
        <f t="shared" si="464"/>
        <v>0</v>
      </c>
      <c r="AW408" s="379">
        <f t="shared" si="465"/>
        <v>0</v>
      </c>
      <c r="AX408" s="379">
        <f t="shared" si="466"/>
        <v>0</v>
      </c>
      <c r="AY408" s="379">
        <f t="shared" si="467"/>
        <v>0</v>
      </c>
    </row>
    <row r="409" spans="1:51" x14ac:dyDescent="0.2">
      <c r="A409" s="376">
        <v>11300</v>
      </c>
      <c r="B409" s="378" t="str">
        <f t="shared" si="420"/>
        <v>Burwood (A)</v>
      </c>
      <c r="C409" s="377" t="str">
        <f t="shared" si="421"/>
        <v>SSROC</v>
      </c>
      <c r="D409" s="503" t="str">
        <f t="shared" si="422"/>
        <v>S</v>
      </c>
      <c r="E409" s="503"/>
      <c r="F409"/>
      <c r="G409" s="379">
        <f t="shared" si="423"/>
        <v>36505</v>
      </c>
      <c r="H409" s="379">
        <f t="shared" si="424"/>
        <v>14224</v>
      </c>
      <c r="I409" s="379">
        <f t="shared" si="425"/>
        <v>367</v>
      </c>
      <c r="J409" s="379" t="str">
        <f t="shared" si="426"/>
        <v>Y</v>
      </c>
      <c r="K409" s="379">
        <f t="shared" si="427"/>
        <v>14224</v>
      </c>
      <c r="L409" s="379">
        <f t="shared" si="428"/>
        <v>0</v>
      </c>
      <c r="M409" s="379">
        <f t="shared" si="429"/>
        <v>14224</v>
      </c>
      <c r="N409" s="379">
        <f t="shared" si="430"/>
        <v>14224</v>
      </c>
      <c r="O409" s="379">
        <f t="shared" si="431"/>
        <v>0</v>
      </c>
      <c r="P409" s="379" t="str">
        <f t="shared" si="432"/>
        <v>Y</v>
      </c>
      <c r="Q409" s="379" t="str">
        <f t="shared" si="433"/>
        <v>Y</v>
      </c>
      <c r="R409" s="379" t="str">
        <f t="shared" si="434"/>
        <v>E-waste Drop Off</v>
      </c>
      <c r="S409" s="379">
        <f t="shared" si="435"/>
        <v>0</v>
      </c>
      <c r="T409" s="379">
        <f t="shared" si="436"/>
        <v>0</v>
      </c>
      <c r="U409" s="379">
        <f t="shared" si="437"/>
        <v>0</v>
      </c>
      <c r="V409" s="379">
        <f t="shared" si="438"/>
        <v>0</v>
      </c>
      <c r="W409" s="379">
        <f t="shared" si="439"/>
        <v>0</v>
      </c>
      <c r="X409" s="379">
        <f t="shared" si="440"/>
        <v>0</v>
      </c>
      <c r="Y409" s="379">
        <f t="shared" si="441"/>
        <v>0</v>
      </c>
      <c r="Z409" s="379">
        <f t="shared" si="442"/>
        <v>0</v>
      </c>
      <c r="AA409" s="379">
        <f t="shared" si="443"/>
        <v>0</v>
      </c>
      <c r="AB409" s="379">
        <f t="shared" si="444"/>
        <v>0</v>
      </c>
      <c r="AC409" s="379">
        <f t="shared" si="445"/>
        <v>0</v>
      </c>
      <c r="AD409" s="379">
        <f t="shared" si="446"/>
        <v>0</v>
      </c>
      <c r="AE409" s="379">
        <f t="shared" si="447"/>
        <v>0</v>
      </c>
      <c r="AF409" s="379">
        <f t="shared" si="448"/>
        <v>0</v>
      </c>
      <c r="AG409" s="379">
        <f t="shared" si="449"/>
        <v>0</v>
      </c>
      <c r="AH409" s="379">
        <f t="shared" si="450"/>
        <v>0</v>
      </c>
      <c r="AI409" s="379">
        <f t="shared" si="451"/>
        <v>0</v>
      </c>
      <c r="AJ409" s="379">
        <f t="shared" si="452"/>
        <v>0</v>
      </c>
      <c r="AK409" s="379">
        <f t="shared" si="453"/>
        <v>0</v>
      </c>
      <c r="AL409" s="379">
        <f t="shared" si="454"/>
        <v>0</v>
      </c>
      <c r="AM409" s="379">
        <f t="shared" si="455"/>
        <v>0</v>
      </c>
      <c r="AN409" s="490">
        <f t="shared" si="456"/>
        <v>0</v>
      </c>
      <c r="AO409" s="379">
        <f t="shared" si="457"/>
        <v>0</v>
      </c>
      <c r="AP409" s="379">
        <f t="shared" si="458"/>
        <v>0</v>
      </c>
      <c r="AQ409" s="379">
        <f t="shared" si="459"/>
        <v>0</v>
      </c>
      <c r="AR409" s="379">
        <f t="shared" si="460"/>
        <v>0</v>
      </c>
      <c r="AS409" s="379">
        <f t="shared" si="461"/>
        <v>0</v>
      </c>
      <c r="AT409" s="379">
        <f t="shared" si="462"/>
        <v>0</v>
      </c>
      <c r="AU409" s="379">
        <f t="shared" si="463"/>
        <v>0</v>
      </c>
      <c r="AV409" s="379">
        <f t="shared" si="464"/>
        <v>0</v>
      </c>
      <c r="AW409" s="379">
        <f t="shared" si="465"/>
        <v>0</v>
      </c>
      <c r="AX409" s="379">
        <f t="shared" si="466"/>
        <v>0</v>
      </c>
      <c r="AY409" s="379">
        <f t="shared" si="467"/>
        <v>0</v>
      </c>
    </row>
    <row r="410" spans="1:51" x14ac:dyDescent="0.2">
      <c r="A410" s="376">
        <v>11450</v>
      </c>
      <c r="B410" s="378" t="str">
        <f t="shared" si="420"/>
        <v>Camden (A)</v>
      </c>
      <c r="C410" s="377" t="str">
        <f t="shared" si="421"/>
        <v>MACROC</v>
      </c>
      <c r="D410" s="503" t="str">
        <f t="shared" si="422"/>
        <v>S</v>
      </c>
      <c r="E410" s="503"/>
      <c r="F410"/>
      <c r="G410" s="379">
        <f t="shared" si="423"/>
        <v>77504</v>
      </c>
      <c r="H410" s="379">
        <f t="shared" si="424"/>
        <v>27740</v>
      </c>
      <c r="I410" s="379">
        <f t="shared" si="425"/>
        <v>601.29999999999995</v>
      </c>
      <c r="J410" s="379" t="str">
        <f t="shared" si="426"/>
        <v>Y</v>
      </c>
      <c r="K410" s="379">
        <f t="shared" si="427"/>
        <v>28399</v>
      </c>
      <c r="L410" s="379">
        <f t="shared" si="428"/>
        <v>0</v>
      </c>
      <c r="M410" s="379">
        <f t="shared" si="429"/>
        <v>27763</v>
      </c>
      <c r="N410" s="379">
        <f t="shared" si="430"/>
        <v>25283</v>
      </c>
      <c r="O410" s="379">
        <f t="shared" si="431"/>
        <v>0</v>
      </c>
      <c r="P410" s="379" t="str">
        <f t="shared" si="432"/>
        <v>Y</v>
      </c>
      <c r="Q410" s="379">
        <f t="shared" si="433"/>
        <v>0</v>
      </c>
      <c r="R410" s="379">
        <f t="shared" si="434"/>
        <v>0</v>
      </c>
      <c r="S410" s="379">
        <f t="shared" si="435"/>
        <v>0</v>
      </c>
      <c r="T410" s="379">
        <f t="shared" si="436"/>
        <v>0</v>
      </c>
      <c r="U410" s="379">
        <f t="shared" si="437"/>
        <v>0</v>
      </c>
      <c r="V410" s="379">
        <f t="shared" si="438"/>
        <v>0</v>
      </c>
      <c r="W410" s="379">
        <f t="shared" si="439"/>
        <v>0</v>
      </c>
      <c r="X410" s="379">
        <f t="shared" si="440"/>
        <v>0</v>
      </c>
      <c r="Y410" s="379">
        <f t="shared" si="441"/>
        <v>0</v>
      </c>
      <c r="Z410" s="379">
        <f t="shared" si="442"/>
        <v>0</v>
      </c>
      <c r="AA410" s="379">
        <f t="shared" si="443"/>
        <v>0</v>
      </c>
      <c r="AB410" s="379">
        <f t="shared" si="444"/>
        <v>0</v>
      </c>
      <c r="AC410" s="379">
        <f t="shared" si="445"/>
        <v>0</v>
      </c>
      <c r="AD410" s="379">
        <f t="shared" si="446"/>
        <v>0</v>
      </c>
      <c r="AE410" s="379">
        <f t="shared" si="447"/>
        <v>0</v>
      </c>
      <c r="AF410" s="379">
        <f t="shared" si="448"/>
        <v>0</v>
      </c>
      <c r="AG410" s="379">
        <f t="shared" si="449"/>
        <v>0</v>
      </c>
      <c r="AH410" s="379">
        <f t="shared" si="450"/>
        <v>0</v>
      </c>
      <c r="AI410" s="379">
        <f t="shared" si="451"/>
        <v>0</v>
      </c>
      <c r="AJ410" s="379">
        <f t="shared" si="452"/>
        <v>0</v>
      </c>
      <c r="AK410" s="379">
        <f t="shared" si="453"/>
        <v>0</v>
      </c>
      <c r="AL410" s="379">
        <f t="shared" si="454"/>
        <v>0</v>
      </c>
      <c r="AM410" s="379">
        <f t="shared" si="455"/>
        <v>0</v>
      </c>
      <c r="AN410" s="490">
        <f t="shared" si="456"/>
        <v>0</v>
      </c>
      <c r="AO410" s="379">
        <f t="shared" si="457"/>
        <v>0</v>
      </c>
      <c r="AP410" s="379">
        <f t="shared" si="458"/>
        <v>0</v>
      </c>
      <c r="AQ410" s="379">
        <f t="shared" si="459"/>
        <v>0</v>
      </c>
      <c r="AR410" s="379">
        <f t="shared" si="460"/>
        <v>0</v>
      </c>
      <c r="AS410" s="379">
        <f t="shared" si="461"/>
        <v>0</v>
      </c>
      <c r="AT410" s="379">
        <f t="shared" si="462"/>
        <v>0</v>
      </c>
      <c r="AU410" s="379">
        <f t="shared" si="463"/>
        <v>0</v>
      </c>
      <c r="AV410" s="379">
        <f t="shared" si="464"/>
        <v>0</v>
      </c>
      <c r="AW410" s="379">
        <f t="shared" si="465"/>
        <v>0</v>
      </c>
      <c r="AX410" s="379">
        <f t="shared" si="466"/>
        <v>0</v>
      </c>
      <c r="AY410" s="379">
        <f t="shared" si="467"/>
        <v>0</v>
      </c>
    </row>
    <row r="411" spans="1:51" x14ac:dyDescent="0.2">
      <c r="A411" s="376">
        <v>11500</v>
      </c>
      <c r="B411" s="378" t="str">
        <f t="shared" si="420"/>
        <v>Campbelltown (C) (NSW)</v>
      </c>
      <c r="C411" s="377" t="str">
        <f t="shared" si="421"/>
        <v>MACROC</v>
      </c>
      <c r="D411" s="503" t="str">
        <f t="shared" si="422"/>
        <v>S</v>
      </c>
      <c r="E411" s="503"/>
      <c r="F411"/>
      <c r="G411" s="379">
        <f t="shared" si="423"/>
        <v>161998</v>
      </c>
      <c r="H411" s="379">
        <f t="shared" si="424"/>
        <v>56521</v>
      </c>
      <c r="I411" s="379">
        <f t="shared" si="425"/>
        <v>329.3</v>
      </c>
      <c r="J411" s="379" t="str">
        <f t="shared" si="426"/>
        <v>Y</v>
      </c>
      <c r="K411" s="379">
        <f t="shared" si="427"/>
        <v>54581</v>
      </c>
      <c r="L411" s="379">
        <f t="shared" si="428"/>
        <v>0</v>
      </c>
      <c r="M411" s="379">
        <f t="shared" si="429"/>
        <v>54581</v>
      </c>
      <c r="N411" s="379">
        <f t="shared" si="430"/>
        <v>54380</v>
      </c>
      <c r="O411" s="379">
        <f t="shared" si="431"/>
        <v>0</v>
      </c>
      <c r="P411" s="379" t="str">
        <f t="shared" si="432"/>
        <v>Y</v>
      </c>
      <c r="Q411" s="379">
        <f t="shared" si="433"/>
        <v>0</v>
      </c>
      <c r="R411" s="379">
        <f t="shared" si="434"/>
        <v>0</v>
      </c>
      <c r="S411" s="379">
        <f t="shared" si="435"/>
        <v>0</v>
      </c>
      <c r="T411" s="379">
        <f t="shared" si="436"/>
        <v>0</v>
      </c>
      <c r="U411" s="379">
        <f t="shared" si="437"/>
        <v>0</v>
      </c>
      <c r="V411" s="379">
        <f t="shared" si="438"/>
        <v>0</v>
      </c>
      <c r="W411" s="379">
        <f t="shared" si="439"/>
        <v>0</v>
      </c>
      <c r="X411" s="379">
        <f t="shared" si="440"/>
        <v>0</v>
      </c>
      <c r="Y411" s="379">
        <f t="shared" si="441"/>
        <v>0</v>
      </c>
      <c r="Z411" s="379">
        <f t="shared" si="442"/>
        <v>0</v>
      </c>
      <c r="AA411" s="379">
        <f t="shared" si="443"/>
        <v>0</v>
      </c>
      <c r="AB411" s="379">
        <f t="shared" si="444"/>
        <v>0</v>
      </c>
      <c r="AC411" s="379">
        <f t="shared" si="445"/>
        <v>0</v>
      </c>
      <c r="AD411" s="379">
        <f t="shared" si="446"/>
        <v>0</v>
      </c>
      <c r="AE411" s="379">
        <f t="shared" si="447"/>
        <v>0</v>
      </c>
      <c r="AF411" s="379">
        <f t="shared" si="448"/>
        <v>0</v>
      </c>
      <c r="AG411" s="379">
        <f t="shared" si="449"/>
        <v>0</v>
      </c>
      <c r="AH411" s="379">
        <f t="shared" si="450"/>
        <v>0</v>
      </c>
      <c r="AI411" s="379">
        <f t="shared" si="451"/>
        <v>0</v>
      </c>
      <c r="AJ411" s="379">
        <f t="shared" si="452"/>
        <v>0</v>
      </c>
      <c r="AK411" s="379">
        <f t="shared" si="453"/>
        <v>0</v>
      </c>
      <c r="AL411" s="379">
        <f t="shared" si="454"/>
        <v>0</v>
      </c>
      <c r="AM411" s="379">
        <f t="shared" si="455"/>
        <v>0</v>
      </c>
      <c r="AN411" s="490">
        <f t="shared" si="456"/>
        <v>0</v>
      </c>
      <c r="AO411" s="379">
        <f t="shared" si="457"/>
        <v>0</v>
      </c>
      <c r="AP411" s="379">
        <f t="shared" si="458"/>
        <v>0</v>
      </c>
      <c r="AQ411" s="379">
        <f t="shared" si="459"/>
        <v>0</v>
      </c>
      <c r="AR411" s="379">
        <f t="shared" si="460"/>
        <v>0</v>
      </c>
      <c r="AS411" s="379">
        <f t="shared" si="461"/>
        <v>0</v>
      </c>
      <c r="AT411" s="379">
        <f t="shared" si="462"/>
        <v>0</v>
      </c>
      <c r="AU411" s="379">
        <f t="shared" si="463"/>
        <v>0</v>
      </c>
      <c r="AV411" s="379">
        <f t="shared" si="464"/>
        <v>0</v>
      </c>
      <c r="AW411" s="379">
        <f t="shared" si="465"/>
        <v>0</v>
      </c>
      <c r="AX411" s="379">
        <f t="shared" si="466"/>
        <v>0</v>
      </c>
      <c r="AY411" s="379">
        <f t="shared" si="467"/>
        <v>0</v>
      </c>
    </row>
    <row r="412" spans="1:51" x14ac:dyDescent="0.2">
      <c r="A412" s="376">
        <v>11520</v>
      </c>
      <c r="B412" s="378" t="str">
        <f t="shared" si="420"/>
        <v>Canada Bay (A)</v>
      </c>
      <c r="C412" s="377" t="str">
        <f t="shared" si="421"/>
        <v>SSROC</v>
      </c>
      <c r="D412" s="503" t="str">
        <f t="shared" si="422"/>
        <v>S</v>
      </c>
      <c r="E412" s="503"/>
      <c r="F412"/>
      <c r="G412" s="379">
        <f t="shared" si="423"/>
        <v>90427</v>
      </c>
      <c r="H412" s="379">
        <f t="shared" si="424"/>
        <v>34974</v>
      </c>
      <c r="I412" s="379">
        <f t="shared" si="425"/>
        <v>372.5</v>
      </c>
      <c r="J412" s="379" t="str">
        <f t="shared" si="426"/>
        <v>Y</v>
      </c>
      <c r="K412" s="379">
        <f t="shared" si="427"/>
        <v>26129</v>
      </c>
      <c r="L412" s="379">
        <f t="shared" si="428"/>
        <v>0</v>
      </c>
      <c r="M412" s="379">
        <f t="shared" si="429"/>
        <v>26573</v>
      </c>
      <c r="N412" s="379">
        <f t="shared" si="430"/>
        <v>18949</v>
      </c>
      <c r="O412" s="379">
        <f t="shared" si="431"/>
        <v>0</v>
      </c>
      <c r="P412" s="379" t="str">
        <f t="shared" si="432"/>
        <v>Y</v>
      </c>
      <c r="Q412" s="379">
        <f t="shared" si="433"/>
        <v>0</v>
      </c>
      <c r="R412" s="379">
        <f t="shared" si="434"/>
        <v>0</v>
      </c>
      <c r="S412" s="379">
        <f t="shared" si="435"/>
        <v>0</v>
      </c>
      <c r="T412" s="379">
        <f t="shared" si="436"/>
        <v>0</v>
      </c>
      <c r="U412" s="379">
        <f t="shared" si="437"/>
        <v>0</v>
      </c>
      <c r="V412" s="379">
        <f t="shared" si="438"/>
        <v>0</v>
      </c>
      <c r="W412" s="379">
        <f t="shared" si="439"/>
        <v>0</v>
      </c>
      <c r="X412" s="379">
        <f t="shared" si="440"/>
        <v>0</v>
      </c>
      <c r="Y412" s="379">
        <f t="shared" si="441"/>
        <v>0</v>
      </c>
      <c r="Z412" s="379">
        <f t="shared" si="442"/>
        <v>0</v>
      </c>
      <c r="AA412" s="379">
        <f t="shared" si="443"/>
        <v>0</v>
      </c>
      <c r="AB412" s="379">
        <f t="shared" si="444"/>
        <v>0</v>
      </c>
      <c r="AC412" s="379">
        <f t="shared" si="445"/>
        <v>0</v>
      </c>
      <c r="AD412" s="379">
        <f t="shared" si="446"/>
        <v>0</v>
      </c>
      <c r="AE412" s="379">
        <f t="shared" si="447"/>
        <v>0</v>
      </c>
      <c r="AF412" s="379">
        <f t="shared" si="448"/>
        <v>0</v>
      </c>
      <c r="AG412" s="379">
        <f t="shared" si="449"/>
        <v>0</v>
      </c>
      <c r="AH412" s="379">
        <f t="shared" si="450"/>
        <v>0</v>
      </c>
      <c r="AI412" s="379">
        <f t="shared" si="451"/>
        <v>0</v>
      </c>
      <c r="AJ412" s="379">
        <f t="shared" si="452"/>
        <v>0</v>
      </c>
      <c r="AK412" s="379">
        <f t="shared" si="453"/>
        <v>0</v>
      </c>
      <c r="AL412" s="379">
        <f t="shared" si="454"/>
        <v>0</v>
      </c>
      <c r="AM412" s="379">
        <f t="shared" si="455"/>
        <v>0</v>
      </c>
      <c r="AN412" s="490">
        <f t="shared" si="456"/>
        <v>0</v>
      </c>
      <c r="AO412" s="379">
        <f t="shared" si="457"/>
        <v>0</v>
      </c>
      <c r="AP412" s="379">
        <f t="shared" si="458"/>
        <v>0</v>
      </c>
      <c r="AQ412" s="379">
        <f t="shared" si="459"/>
        <v>0</v>
      </c>
      <c r="AR412" s="379">
        <f t="shared" si="460"/>
        <v>0</v>
      </c>
      <c r="AS412" s="379">
        <f t="shared" si="461"/>
        <v>0</v>
      </c>
      <c r="AT412" s="379">
        <f t="shared" si="462"/>
        <v>0</v>
      </c>
      <c r="AU412" s="379">
        <f t="shared" si="463"/>
        <v>0</v>
      </c>
      <c r="AV412" s="379">
        <f t="shared" si="464"/>
        <v>0</v>
      </c>
      <c r="AW412" s="379">
        <f t="shared" si="465"/>
        <v>0</v>
      </c>
      <c r="AX412" s="379">
        <f t="shared" si="466"/>
        <v>0</v>
      </c>
      <c r="AY412" s="379">
        <f t="shared" si="467"/>
        <v>0</v>
      </c>
    </row>
    <row r="413" spans="1:51" x14ac:dyDescent="0.2">
      <c r="A413" s="376">
        <v>11570</v>
      </c>
      <c r="B413" s="378" t="str">
        <f t="shared" si="420"/>
        <v>Canterbury-Bankstown (A)</v>
      </c>
      <c r="C413" s="377" t="str">
        <f t="shared" si="421"/>
        <v>SSROC</v>
      </c>
      <c r="D413" s="503" t="str">
        <f t="shared" si="422"/>
        <v>S</v>
      </c>
      <c r="E413" s="503"/>
      <c r="F413"/>
      <c r="G413" s="379">
        <f t="shared" si="423"/>
        <v>359671</v>
      </c>
      <c r="H413" s="379">
        <f t="shared" si="424"/>
        <v>114340</v>
      </c>
      <c r="I413" s="379">
        <f t="shared" si="425"/>
        <v>450</v>
      </c>
      <c r="J413" s="379" t="str">
        <f t="shared" si="426"/>
        <v>Y</v>
      </c>
      <c r="K413" s="379">
        <f t="shared" si="427"/>
        <v>97684</v>
      </c>
      <c r="L413" s="379">
        <f t="shared" si="428"/>
        <v>0</v>
      </c>
      <c r="M413" s="379">
        <f t="shared" si="429"/>
        <v>95567</v>
      </c>
      <c r="N413" s="379">
        <f t="shared" si="430"/>
        <v>85288</v>
      </c>
      <c r="O413" s="379">
        <f t="shared" si="431"/>
        <v>0</v>
      </c>
      <c r="P413" s="379" t="str">
        <f t="shared" si="432"/>
        <v>Y</v>
      </c>
      <c r="Q413" s="379">
        <f t="shared" si="433"/>
        <v>0</v>
      </c>
      <c r="R413" s="379">
        <f t="shared" si="434"/>
        <v>0</v>
      </c>
      <c r="S413" s="379">
        <f t="shared" si="435"/>
        <v>0</v>
      </c>
      <c r="T413" s="379">
        <f t="shared" si="436"/>
        <v>0</v>
      </c>
      <c r="U413" s="379">
        <f t="shared" si="437"/>
        <v>0</v>
      </c>
      <c r="V413" s="379">
        <f t="shared" si="438"/>
        <v>0</v>
      </c>
      <c r="W413" s="379">
        <f t="shared" si="439"/>
        <v>0</v>
      </c>
      <c r="X413" s="379">
        <f t="shared" si="440"/>
        <v>0</v>
      </c>
      <c r="Y413" s="379">
        <f t="shared" si="441"/>
        <v>0</v>
      </c>
      <c r="Z413" s="379">
        <f t="shared" si="442"/>
        <v>0</v>
      </c>
      <c r="AA413" s="379">
        <f t="shared" si="443"/>
        <v>0</v>
      </c>
      <c r="AB413" s="379">
        <f t="shared" si="444"/>
        <v>0</v>
      </c>
      <c r="AC413" s="379">
        <f t="shared" si="445"/>
        <v>0</v>
      </c>
      <c r="AD413" s="379">
        <f t="shared" si="446"/>
        <v>0</v>
      </c>
      <c r="AE413" s="379">
        <f t="shared" si="447"/>
        <v>0</v>
      </c>
      <c r="AF413" s="379">
        <f t="shared" si="448"/>
        <v>0</v>
      </c>
      <c r="AG413" s="379">
        <f t="shared" si="449"/>
        <v>0</v>
      </c>
      <c r="AH413" s="379">
        <f t="shared" si="450"/>
        <v>0</v>
      </c>
      <c r="AI413" s="379">
        <f t="shared" si="451"/>
        <v>0</v>
      </c>
      <c r="AJ413" s="379">
        <f t="shared" si="452"/>
        <v>0</v>
      </c>
      <c r="AK413" s="379">
        <f t="shared" si="453"/>
        <v>0</v>
      </c>
      <c r="AL413" s="379">
        <f t="shared" si="454"/>
        <v>0</v>
      </c>
      <c r="AM413" s="379">
        <f t="shared" si="455"/>
        <v>0</v>
      </c>
      <c r="AN413" s="490">
        <f t="shared" si="456"/>
        <v>0</v>
      </c>
      <c r="AO413" s="379">
        <f t="shared" si="457"/>
        <v>0</v>
      </c>
      <c r="AP413" s="379">
        <f t="shared" si="458"/>
        <v>0</v>
      </c>
      <c r="AQ413" s="379">
        <f t="shared" si="459"/>
        <v>0</v>
      </c>
      <c r="AR413" s="379">
        <f t="shared" si="460"/>
        <v>0</v>
      </c>
      <c r="AS413" s="379">
        <f t="shared" si="461"/>
        <v>0</v>
      </c>
      <c r="AT413" s="379">
        <f t="shared" si="462"/>
        <v>0</v>
      </c>
      <c r="AU413" s="379">
        <f t="shared" si="463"/>
        <v>0</v>
      </c>
      <c r="AV413" s="379">
        <f t="shared" si="464"/>
        <v>0</v>
      </c>
      <c r="AW413" s="379">
        <f t="shared" si="465"/>
        <v>0</v>
      </c>
      <c r="AX413" s="379">
        <f t="shared" si="466"/>
        <v>0</v>
      </c>
      <c r="AY413" s="379">
        <f t="shared" si="467"/>
        <v>0</v>
      </c>
    </row>
    <row r="414" spans="1:51" x14ac:dyDescent="0.2">
      <c r="A414" s="376">
        <v>12380</v>
      </c>
      <c r="B414" s="378" t="str">
        <f t="shared" si="420"/>
        <v>Cumberland (A)</v>
      </c>
      <c r="C414" s="377" t="str">
        <f t="shared" si="421"/>
        <v>WSROC</v>
      </c>
      <c r="D414" s="503" t="str">
        <f t="shared" si="422"/>
        <v>S</v>
      </c>
      <c r="E414" s="503"/>
      <c r="F414"/>
      <c r="G414" s="379">
        <f t="shared" si="423"/>
        <v>222758</v>
      </c>
      <c r="H414" s="379">
        <f t="shared" si="424"/>
        <v>72079</v>
      </c>
      <c r="I414" s="379">
        <f t="shared" si="425"/>
        <v>447</v>
      </c>
      <c r="J414" s="379" t="str">
        <f t="shared" si="426"/>
        <v>Y</v>
      </c>
      <c r="K414" s="379">
        <f t="shared" si="427"/>
        <v>68923</v>
      </c>
      <c r="L414" s="379" t="str">
        <f t="shared" si="428"/>
        <v>Y</v>
      </c>
      <c r="M414" s="379">
        <f t="shared" si="429"/>
        <v>65715</v>
      </c>
      <c r="N414" s="379">
        <f t="shared" si="430"/>
        <v>22584</v>
      </c>
      <c r="O414" s="379">
        <f t="shared" si="431"/>
        <v>0</v>
      </c>
      <c r="P414" s="379" t="str">
        <f t="shared" si="432"/>
        <v>Y</v>
      </c>
      <c r="Q414" s="379" t="str">
        <f t="shared" si="433"/>
        <v>Y</v>
      </c>
      <c r="R414" s="379" t="str">
        <f t="shared" si="434"/>
        <v>Holroyd Depot</v>
      </c>
      <c r="S414" s="379">
        <f t="shared" si="435"/>
        <v>0</v>
      </c>
      <c r="T414" s="379">
        <f t="shared" si="436"/>
        <v>0</v>
      </c>
      <c r="U414" s="379">
        <f t="shared" si="437"/>
        <v>0</v>
      </c>
      <c r="V414" s="379">
        <f t="shared" si="438"/>
        <v>0</v>
      </c>
      <c r="W414" s="379">
        <f t="shared" si="439"/>
        <v>0</v>
      </c>
      <c r="X414" s="379">
        <f t="shared" si="440"/>
        <v>0</v>
      </c>
      <c r="Y414" s="379">
        <f t="shared" si="441"/>
        <v>0</v>
      </c>
      <c r="Z414" s="379">
        <f t="shared" si="442"/>
        <v>0</v>
      </c>
      <c r="AA414" s="379">
        <f t="shared" si="443"/>
        <v>0</v>
      </c>
      <c r="AB414" s="379">
        <f t="shared" si="444"/>
        <v>0</v>
      </c>
      <c r="AC414" s="379">
        <f t="shared" si="445"/>
        <v>0</v>
      </c>
      <c r="AD414" s="379">
        <f t="shared" si="446"/>
        <v>0</v>
      </c>
      <c r="AE414" s="379">
        <f t="shared" si="447"/>
        <v>0</v>
      </c>
      <c r="AF414" s="379">
        <f t="shared" si="448"/>
        <v>0</v>
      </c>
      <c r="AG414" s="379">
        <f t="shared" si="449"/>
        <v>0</v>
      </c>
      <c r="AH414" s="379">
        <f t="shared" si="450"/>
        <v>0</v>
      </c>
      <c r="AI414" s="379">
        <f t="shared" si="451"/>
        <v>0</v>
      </c>
      <c r="AJ414" s="379">
        <f t="shared" si="452"/>
        <v>0</v>
      </c>
      <c r="AK414" s="379">
        <f t="shared" si="453"/>
        <v>0</v>
      </c>
      <c r="AL414" s="379">
        <f t="shared" si="454"/>
        <v>0</v>
      </c>
      <c r="AM414" s="379">
        <f t="shared" si="455"/>
        <v>0</v>
      </c>
      <c r="AN414" s="490">
        <f t="shared" si="456"/>
        <v>0</v>
      </c>
      <c r="AO414" s="379">
        <f t="shared" si="457"/>
        <v>0</v>
      </c>
      <c r="AP414" s="379">
        <f t="shared" si="458"/>
        <v>0</v>
      </c>
      <c r="AQ414" s="379">
        <f t="shared" si="459"/>
        <v>0</v>
      </c>
      <c r="AR414" s="379">
        <f t="shared" si="460"/>
        <v>0</v>
      </c>
      <c r="AS414" s="379">
        <f t="shared" si="461"/>
        <v>0</v>
      </c>
      <c r="AT414" s="379">
        <f t="shared" si="462"/>
        <v>0</v>
      </c>
      <c r="AU414" s="379">
        <f t="shared" si="463"/>
        <v>0</v>
      </c>
      <c r="AV414" s="379">
        <f t="shared" si="464"/>
        <v>0</v>
      </c>
      <c r="AW414" s="379">
        <f t="shared" si="465"/>
        <v>0</v>
      </c>
      <c r="AX414" s="379">
        <f t="shared" si="466"/>
        <v>0</v>
      </c>
      <c r="AY414" s="379">
        <f t="shared" si="467"/>
        <v>0</v>
      </c>
    </row>
    <row r="415" spans="1:51" x14ac:dyDescent="0.2">
      <c r="A415" s="376">
        <v>12850</v>
      </c>
      <c r="B415" s="378" t="str">
        <f t="shared" si="420"/>
        <v>Fairfield (C)</v>
      </c>
      <c r="C415" s="377" t="str">
        <f t="shared" si="421"/>
        <v>WSROC</v>
      </c>
      <c r="D415" s="503" t="str">
        <f t="shared" si="422"/>
        <v>S</v>
      </c>
      <c r="E415" s="503"/>
      <c r="F415"/>
      <c r="G415" s="379">
        <f t="shared" si="423"/>
        <v>207022</v>
      </c>
      <c r="H415" s="379">
        <f t="shared" si="424"/>
        <v>63104</v>
      </c>
      <c r="I415" s="379">
        <f t="shared" si="425"/>
        <v>478.64</v>
      </c>
      <c r="J415" s="379" t="str">
        <f t="shared" si="426"/>
        <v>Y</v>
      </c>
      <c r="K415" s="379">
        <f t="shared" si="427"/>
        <v>57534</v>
      </c>
      <c r="L415" s="379" t="str">
        <f t="shared" si="428"/>
        <v>Y</v>
      </c>
      <c r="M415" s="379">
        <f t="shared" si="429"/>
        <v>63104</v>
      </c>
      <c r="N415" s="379">
        <f t="shared" si="430"/>
        <v>0</v>
      </c>
      <c r="O415" s="379">
        <f t="shared" si="431"/>
        <v>0</v>
      </c>
      <c r="P415" s="379" t="str">
        <f t="shared" si="432"/>
        <v>Y</v>
      </c>
      <c r="Q415" s="379" t="str">
        <f t="shared" si="433"/>
        <v>Y</v>
      </c>
      <c r="R415" s="379" t="str">
        <f t="shared" si="434"/>
        <v>Recycling Drop Off Centre</v>
      </c>
      <c r="S415" s="379">
        <f t="shared" si="435"/>
        <v>0</v>
      </c>
      <c r="T415" s="379">
        <f t="shared" si="436"/>
        <v>0</v>
      </c>
      <c r="U415" s="379">
        <f t="shared" si="437"/>
        <v>0</v>
      </c>
      <c r="V415" s="379">
        <f t="shared" si="438"/>
        <v>0</v>
      </c>
      <c r="W415" s="379">
        <f t="shared" si="439"/>
        <v>0</v>
      </c>
      <c r="X415" s="379">
        <f t="shared" si="440"/>
        <v>0</v>
      </c>
      <c r="Y415" s="379">
        <f t="shared" si="441"/>
        <v>0</v>
      </c>
      <c r="Z415" s="379">
        <f t="shared" si="442"/>
        <v>0</v>
      </c>
      <c r="AA415" s="379">
        <f t="shared" si="443"/>
        <v>0</v>
      </c>
      <c r="AB415" s="379">
        <f t="shared" si="444"/>
        <v>0</v>
      </c>
      <c r="AC415" s="379">
        <f t="shared" si="445"/>
        <v>0</v>
      </c>
      <c r="AD415" s="379">
        <f t="shared" si="446"/>
        <v>0</v>
      </c>
      <c r="AE415" s="379">
        <f t="shared" si="447"/>
        <v>0</v>
      </c>
      <c r="AF415" s="379">
        <f t="shared" si="448"/>
        <v>0</v>
      </c>
      <c r="AG415" s="379">
        <f t="shared" si="449"/>
        <v>0</v>
      </c>
      <c r="AH415" s="379">
        <f t="shared" si="450"/>
        <v>0</v>
      </c>
      <c r="AI415" s="379">
        <f t="shared" si="451"/>
        <v>0</v>
      </c>
      <c r="AJ415" s="379">
        <f t="shared" si="452"/>
        <v>0</v>
      </c>
      <c r="AK415" s="379">
        <f t="shared" si="453"/>
        <v>0</v>
      </c>
      <c r="AL415" s="379">
        <f t="shared" si="454"/>
        <v>0</v>
      </c>
      <c r="AM415" s="379">
        <f t="shared" si="455"/>
        <v>0</v>
      </c>
      <c r="AN415" s="490">
        <f t="shared" si="456"/>
        <v>0</v>
      </c>
      <c r="AO415" s="379">
        <f t="shared" si="457"/>
        <v>0</v>
      </c>
      <c r="AP415" s="379">
        <f t="shared" si="458"/>
        <v>0</v>
      </c>
      <c r="AQ415" s="379">
        <f t="shared" si="459"/>
        <v>0</v>
      </c>
      <c r="AR415" s="379">
        <f t="shared" si="460"/>
        <v>0</v>
      </c>
      <c r="AS415" s="379">
        <f t="shared" si="461"/>
        <v>0</v>
      </c>
      <c r="AT415" s="379">
        <f t="shared" si="462"/>
        <v>0</v>
      </c>
      <c r="AU415" s="379">
        <f t="shared" si="463"/>
        <v>0</v>
      </c>
      <c r="AV415" s="379">
        <f t="shared" si="464"/>
        <v>0</v>
      </c>
      <c r="AW415" s="379">
        <f t="shared" si="465"/>
        <v>0</v>
      </c>
      <c r="AX415" s="379">
        <f t="shared" si="466"/>
        <v>0</v>
      </c>
      <c r="AY415" s="379">
        <f t="shared" si="467"/>
        <v>0</v>
      </c>
    </row>
    <row r="416" spans="1:51" x14ac:dyDescent="0.2">
      <c r="A416" s="376">
        <v>12930</v>
      </c>
      <c r="B416" s="378" t="str">
        <f t="shared" si="420"/>
        <v>Georges River (A)</v>
      </c>
      <c r="C416" s="377" t="str">
        <f t="shared" si="421"/>
        <v>SSROC</v>
      </c>
      <c r="D416" s="503" t="str">
        <f t="shared" si="422"/>
        <v>S</v>
      </c>
      <c r="E416" s="503"/>
      <c r="F416"/>
      <c r="G416" s="379">
        <f t="shared" si="423"/>
        <v>149489</v>
      </c>
      <c r="H416" s="379">
        <f t="shared" si="424"/>
        <v>54667</v>
      </c>
      <c r="I416" s="379">
        <f t="shared" si="425"/>
        <v>405.84</v>
      </c>
      <c r="J416" s="379" t="str">
        <f t="shared" si="426"/>
        <v>Y</v>
      </c>
      <c r="K416" s="379">
        <f t="shared" si="427"/>
        <v>48332</v>
      </c>
      <c r="L416" s="379">
        <f t="shared" si="428"/>
        <v>0</v>
      </c>
      <c r="M416" s="379">
        <f t="shared" si="429"/>
        <v>29154</v>
      </c>
      <c r="N416" s="379">
        <f t="shared" si="430"/>
        <v>18849</v>
      </c>
      <c r="O416" s="379">
        <f t="shared" si="431"/>
        <v>0</v>
      </c>
      <c r="P416" s="379" t="str">
        <f t="shared" si="432"/>
        <v>Y</v>
      </c>
      <c r="Q416" s="379" t="str">
        <f t="shared" si="433"/>
        <v>Y</v>
      </c>
      <c r="R416" s="379" t="str">
        <f t="shared" si="434"/>
        <v>Depot Rd Mortdale</v>
      </c>
      <c r="S416" s="379">
        <f t="shared" si="435"/>
        <v>0</v>
      </c>
      <c r="T416" s="379">
        <f t="shared" si="436"/>
        <v>0</v>
      </c>
      <c r="U416" s="379">
        <f t="shared" si="437"/>
        <v>0</v>
      </c>
      <c r="V416" s="379">
        <f t="shared" si="438"/>
        <v>0</v>
      </c>
      <c r="W416" s="379">
        <f t="shared" si="439"/>
        <v>0</v>
      </c>
      <c r="X416" s="379">
        <f t="shared" si="440"/>
        <v>0</v>
      </c>
      <c r="Y416" s="379">
        <f t="shared" si="441"/>
        <v>0</v>
      </c>
      <c r="Z416" s="379">
        <f t="shared" si="442"/>
        <v>0</v>
      </c>
      <c r="AA416" s="379">
        <f t="shared" si="443"/>
        <v>0</v>
      </c>
      <c r="AB416" s="379">
        <f t="shared" si="444"/>
        <v>0</v>
      </c>
      <c r="AC416" s="379">
        <f t="shared" si="445"/>
        <v>0</v>
      </c>
      <c r="AD416" s="379">
        <f t="shared" si="446"/>
        <v>0</v>
      </c>
      <c r="AE416" s="379">
        <f t="shared" si="447"/>
        <v>0</v>
      </c>
      <c r="AF416" s="379">
        <f t="shared" si="448"/>
        <v>0</v>
      </c>
      <c r="AG416" s="379">
        <f t="shared" si="449"/>
        <v>0</v>
      </c>
      <c r="AH416" s="379">
        <f t="shared" si="450"/>
        <v>0</v>
      </c>
      <c r="AI416" s="379">
        <f t="shared" si="451"/>
        <v>0</v>
      </c>
      <c r="AJ416" s="379">
        <f t="shared" si="452"/>
        <v>0</v>
      </c>
      <c r="AK416" s="379">
        <f t="shared" si="453"/>
        <v>0</v>
      </c>
      <c r="AL416" s="379">
        <f t="shared" si="454"/>
        <v>0</v>
      </c>
      <c r="AM416" s="379">
        <f t="shared" si="455"/>
        <v>0</v>
      </c>
      <c r="AN416" s="490">
        <f t="shared" si="456"/>
        <v>0</v>
      </c>
      <c r="AO416" s="379">
        <f t="shared" si="457"/>
        <v>0</v>
      </c>
      <c r="AP416" s="379">
        <f t="shared" si="458"/>
        <v>0</v>
      </c>
      <c r="AQ416" s="379">
        <f t="shared" si="459"/>
        <v>0</v>
      </c>
      <c r="AR416" s="379">
        <f t="shared" si="460"/>
        <v>0</v>
      </c>
      <c r="AS416" s="379">
        <f t="shared" si="461"/>
        <v>0</v>
      </c>
      <c r="AT416" s="379">
        <f t="shared" si="462"/>
        <v>0</v>
      </c>
      <c r="AU416" s="379">
        <f t="shared" si="463"/>
        <v>0</v>
      </c>
      <c r="AV416" s="379">
        <f t="shared" si="464"/>
        <v>0</v>
      </c>
      <c r="AW416" s="379">
        <f t="shared" si="465"/>
        <v>0</v>
      </c>
      <c r="AX416" s="379">
        <f t="shared" si="466"/>
        <v>0</v>
      </c>
      <c r="AY416" s="379">
        <f t="shared" si="467"/>
        <v>0</v>
      </c>
    </row>
    <row r="417" spans="1:51" x14ac:dyDescent="0.2">
      <c r="A417" s="376">
        <v>14000</v>
      </c>
      <c r="B417" s="378" t="str">
        <f t="shared" si="420"/>
        <v>Hornsby (A)</v>
      </c>
      <c r="C417" s="377" t="str">
        <f t="shared" si="421"/>
        <v>NSROC</v>
      </c>
      <c r="D417" s="503" t="str">
        <f t="shared" si="422"/>
        <v>S</v>
      </c>
      <c r="E417" s="503"/>
      <c r="F417"/>
      <c r="G417" s="379">
        <f t="shared" si="423"/>
        <v>151237</v>
      </c>
      <c r="H417" s="379">
        <f t="shared" si="424"/>
        <v>42686</v>
      </c>
      <c r="I417" s="379">
        <f t="shared" si="425"/>
        <v>436</v>
      </c>
      <c r="J417" s="379" t="str">
        <f t="shared" si="426"/>
        <v>Y</v>
      </c>
      <c r="K417" s="379">
        <f t="shared" si="427"/>
        <v>42706</v>
      </c>
      <c r="L417" s="379">
        <f t="shared" si="428"/>
        <v>0</v>
      </c>
      <c r="M417" s="379">
        <f t="shared" si="429"/>
        <v>42701</v>
      </c>
      <c r="N417" s="379">
        <f t="shared" si="430"/>
        <v>39215</v>
      </c>
      <c r="O417" s="379">
        <f t="shared" si="431"/>
        <v>0</v>
      </c>
      <c r="P417" s="379" t="str">
        <f t="shared" si="432"/>
        <v>Y</v>
      </c>
      <c r="Q417" s="379" t="str">
        <f t="shared" si="433"/>
        <v>Y</v>
      </c>
      <c r="R417" s="379" t="str">
        <f t="shared" si="434"/>
        <v>Thornleigh Depot</v>
      </c>
      <c r="S417" s="379">
        <f t="shared" si="435"/>
        <v>0</v>
      </c>
      <c r="T417" s="379">
        <f t="shared" si="436"/>
        <v>0</v>
      </c>
      <c r="U417" s="379">
        <f t="shared" si="437"/>
        <v>0</v>
      </c>
      <c r="V417" s="379">
        <f t="shared" si="438"/>
        <v>0</v>
      </c>
      <c r="W417" s="379">
        <f t="shared" si="439"/>
        <v>0</v>
      </c>
      <c r="X417" s="379">
        <f t="shared" si="440"/>
        <v>0</v>
      </c>
      <c r="Y417" s="379">
        <f t="shared" si="441"/>
        <v>0</v>
      </c>
      <c r="Z417" s="379">
        <f t="shared" si="442"/>
        <v>0</v>
      </c>
      <c r="AA417" s="379">
        <f t="shared" si="443"/>
        <v>0</v>
      </c>
      <c r="AB417" s="379">
        <f t="shared" si="444"/>
        <v>0</v>
      </c>
      <c r="AC417" s="379">
        <f t="shared" si="445"/>
        <v>0</v>
      </c>
      <c r="AD417" s="379">
        <f t="shared" si="446"/>
        <v>0</v>
      </c>
      <c r="AE417" s="379">
        <f t="shared" si="447"/>
        <v>0</v>
      </c>
      <c r="AF417" s="379">
        <f t="shared" si="448"/>
        <v>0</v>
      </c>
      <c r="AG417" s="379">
        <f t="shared" si="449"/>
        <v>0</v>
      </c>
      <c r="AH417" s="379">
        <f t="shared" si="450"/>
        <v>0</v>
      </c>
      <c r="AI417" s="379">
        <f t="shared" si="451"/>
        <v>0</v>
      </c>
      <c r="AJ417" s="379">
        <f t="shared" si="452"/>
        <v>0</v>
      </c>
      <c r="AK417" s="379">
        <f t="shared" si="453"/>
        <v>0</v>
      </c>
      <c r="AL417" s="379">
        <f t="shared" si="454"/>
        <v>0</v>
      </c>
      <c r="AM417" s="379">
        <f t="shared" si="455"/>
        <v>0</v>
      </c>
      <c r="AN417" s="490">
        <f t="shared" si="456"/>
        <v>0</v>
      </c>
      <c r="AO417" s="379">
        <f t="shared" si="457"/>
        <v>0</v>
      </c>
      <c r="AP417" s="379">
        <f t="shared" si="458"/>
        <v>0</v>
      </c>
      <c r="AQ417" s="379">
        <f t="shared" si="459"/>
        <v>0</v>
      </c>
      <c r="AR417" s="379">
        <f t="shared" si="460"/>
        <v>0</v>
      </c>
      <c r="AS417" s="379">
        <f t="shared" si="461"/>
        <v>0</v>
      </c>
      <c r="AT417" s="379">
        <f t="shared" si="462"/>
        <v>0</v>
      </c>
      <c r="AU417" s="379">
        <f t="shared" si="463"/>
        <v>0</v>
      </c>
      <c r="AV417" s="379">
        <f t="shared" si="464"/>
        <v>0</v>
      </c>
      <c r="AW417" s="379">
        <f t="shared" si="465"/>
        <v>0</v>
      </c>
      <c r="AX417" s="379">
        <f t="shared" si="466"/>
        <v>0</v>
      </c>
      <c r="AY417" s="379">
        <f t="shared" si="467"/>
        <v>0</v>
      </c>
    </row>
    <row r="418" spans="1:51" x14ac:dyDescent="0.2">
      <c r="A418" s="376">
        <v>14100</v>
      </c>
      <c r="B418" s="378" t="str">
        <f t="shared" si="420"/>
        <v>Hunters Hill (A)</v>
      </c>
      <c r="C418" s="377" t="str">
        <f t="shared" si="421"/>
        <v>NSROC</v>
      </c>
      <c r="D418" s="503" t="str">
        <f t="shared" si="422"/>
        <v>S</v>
      </c>
      <c r="E418" s="503"/>
      <c r="F418"/>
      <c r="G418" s="379">
        <f t="shared" si="423"/>
        <v>14843</v>
      </c>
      <c r="H418" s="379">
        <f t="shared" si="424"/>
        <v>4916</v>
      </c>
      <c r="I418" s="379">
        <f t="shared" si="425"/>
        <v>493.95</v>
      </c>
      <c r="J418" s="379" t="str">
        <f t="shared" si="426"/>
        <v>Y</v>
      </c>
      <c r="K418" s="379">
        <f t="shared" si="427"/>
        <v>4402</v>
      </c>
      <c r="L418" s="379">
        <f t="shared" si="428"/>
        <v>0</v>
      </c>
      <c r="M418" s="379">
        <f t="shared" si="429"/>
        <v>4340</v>
      </c>
      <c r="N418" s="379">
        <f t="shared" si="430"/>
        <v>4340</v>
      </c>
      <c r="O418" s="379">
        <f t="shared" si="431"/>
        <v>0</v>
      </c>
      <c r="P418" s="379" t="str">
        <f t="shared" si="432"/>
        <v>Y</v>
      </c>
      <c r="Q418" s="379">
        <f t="shared" si="433"/>
        <v>0</v>
      </c>
      <c r="R418" s="379">
        <f t="shared" si="434"/>
        <v>0</v>
      </c>
      <c r="S418" s="379">
        <f t="shared" si="435"/>
        <v>0</v>
      </c>
      <c r="T418" s="379">
        <f t="shared" si="436"/>
        <v>0</v>
      </c>
      <c r="U418" s="379">
        <f t="shared" si="437"/>
        <v>0</v>
      </c>
      <c r="V418" s="379">
        <f t="shared" si="438"/>
        <v>0</v>
      </c>
      <c r="W418" s="379">
        <f t="shared" si="439"/>
        <v>0</v>
      </c>
      <c r="X418" s="379">
        <f t="shared" si="440"/>
        <v>0</v>
      </c>
      <c r="Y418" s="379">
        <f t="shared" si="441"/>
        <v>0</v>
      </c>
      <c r="Z418" s="379">
        <f t="shared" si="442"/>
        <v>0</v>
      </c>
      <c r="AA418" s="379">
        <f t="shared" si="443"/>
        <v>0</v>
      </c>
      <c r="AB418" s="379">
        <f t="shared" si="444"/>
        <v>0</v>
      </c>
      <c r="AC418" s="379">
        <f t="shared" si="445"/>
        <v>0</v>
      </c>
      <c r="AD418" s="379">
        <f t="shared" si="446"/>
        <v>0</v>
      </c>
      <c r="AE418" s="379">
        <f t="shared" si="447"/>
        <v>0</v>
      </c>
      <c r="AF418" s="379">
        <f t="shared" si="448"/>
        <v>0</v>
      </c>
      <c r="AG418" s="379">
        <f t="shared" si="449"/>
        <v>0</v>
      </c>
      <c r="AH418" s="379">
        <f t="shared" si="450"/>
        <v>0</v>
      </c>
      <c r="AI418" s="379">
        <f t="shared" si="451"/>
        <v>0</v>
      </c>
      <c r="AJ418" s="379">
        <f t="shared" si="452"/>
        <v>0</v>
      </c>
      <c r="AK418" s="379">
        <f t="shared" si="453"/>
        <v>0</v>
      </c>
      <c r="AL418" s="379">
        <f t="shared" si="454"/>
        <v>0</v>
      </c>
      <c r="AM418" s="379">
        <f t="shared" si="455"/>
        <v>0</v>
      </c>
      <c r="AN418" s="490">
        <f t="shared" si="456"/>
        <v>0</v>
      </c>
      <c r="AO418" s="379">
        <f t="shared" si="457"/>
        <v>0</v>
      </c>
      <c r="AP418" s="379">
        <f t="shared" si="458"/>
        <v>0</v>
      </c>
      <c r="AQ418" s="379">
        <f t="shared" si="459"/>
        <v>0</v>
      </c>
      <c r="AR418" s="379">
        <f t="shared" si="460"/>
        <v>0</v>
      </c>
      <c r="AS418" s="379">
        <f t="shared" si="461"/>
        <v>0</v>
      </c>
      <c r="AT418" s="379">
        <f t="shared" si="462"/>
        <v>0</v>
      </c>
      <c r="AU418" s="379">
        <f t="shared" si="463"/>
        <v>0</v>
      </c>
      <c r="AV418" s="379">
        <f t="shared" si="464"/>
        <v>0</v>
      </c>
      <c r="AW418" s="379">
        <f t="shared" si="465"/>
        <v>0</v>
      </c>
      <c r="AX418" s="379">
        <f t="shared" si="466"/>
        <v>0</v>
      </c>
      <c r="AY418" s="379">
        <f t="shared" si="467"/>
        <v>0</v>
      </c>
    </row>
    <row r="419" spans="1:51" x14ac:dyDescent="0.2">
      <c r="A419" s="376">
        <v>14170</v>
      </c>
      <c r="B419" s="378" t="str">
        <f t="shared" si="420"/>
        <v>Inner West (A)</v>
      </c>
      <c r="C419" s="377" t="str">
        <f t="shared" si="421"/>
        <v>SSROC</v>
      </c>
      <c r="D419" s="503" t="str">
        <f t="shared" si="422"/>
        <v>S</v>
      </c>
      <c r="E419" s="503"/>
      <c r="F419"/>
      <c r="G419" s="379">
        <f t="shared" si="423"/>
        <v>189576</v>
      </c>
      <c r="H419" s="379">
        <f t="shared" si="424"/>
        <v>74418</v>
      </c>
      <c r="I419" s="379">
        <f t="shared" si="425"/>
        <v>386.28</v>
      </c>
      <c r="J419" s="379" t="str">
        <f t="shared" si="426"/>
        <v>Y</v>
      </c>
      <c r="K419" s="379">
        <f t="shared" si="427"/>
        <v>72903</v>
      </c>
      <c r="L419" s="379">
        <f t="shared" si="428"/>
        <v>0</v>
      </c>
      <c r="M419" s="379">
        <f t="shared" si="429"/>
        <v>73041</v>
      </c>
      <c r="N419" s="379">
        <f t="shared" si="430"/>
        <v>24104</v>
      </c>
      <c r="O419" s="379">
        <f t="shared" si="431"/>
        <v>618</v>
      </c>
      <c r="P419" s="379" t="str">
        <f t="shared" si="432"/>
        <v>Y</v>
      </c>
      <c r="Q419" s="379" t="str">
        <f t="shared" si="433"/>
        <v>Y</v>
      </c>
      <c r="R419" s="379" t="str">
        <f t="shared" si="434"/>
        <v>Moore St CRC</v>
      </c>
      <c r="S419" s="379">
        <f t="shared" si="435"/>
        <v>0</v>
      </c>
      <c r="T419" s="379">
        <f t="shared" si="436"/>
        <v>0</v>
      </c>
      <c r="U419" s="379">
        <f t="shared" si="437"/>
        <v>0</v>
      </c>
      <c r="V419" s="379">
        <f t="shared" si="438"/>
        <v>0</v>
      </c>
      <c r="W419" s="379">
        <f t="shared" si="439"/>
        <v>0</v>
      </c>
      <c r="X419" s="379">
        <f t="shared" si="440"/>
        <v>0</v>
      </c>
      <c r="Y419" s="379">
        <f t="shared" si="441"/>
        <v>0</v>
      </c>
      <c r="Z419" s="379">
        <f t="shared" si="442"/>
        <v>0</v>
      </c>
      <c r="AA419" s="379">
        <f t="shared" si="443"/>
        <v>0</v>
      </c>
      <c r="AB419" s="379">
        <f t="shared" si="444"/>
        <v>0</v>
      </c>
      <c r="AC419" s="379">
        <f t="shared" si="445"/>
        <v>0</v>
      </c>
      <c r="AD419" s="379">
        <f t="shared" si="446"/>
        <v>0</v>
      </c>
      <c r="AE419" s="379">
        <f t="shared" si="447"/>
        <v>0</v>
      </c>
      <c r="AF419" s="379">
        <f t="shared" si="448"/>
        <v>0</v>
      </c>
      <c r="AG419" s="379">
        <f t="shared" si="449"/>
        <v>0</v>
      </c>
      <c r="AH419" s="379">
        <f t="shared" si="450"/>
        <v>0</v>
      </c>
      <c r="AI419" s="379">
        <f t="shared" si="451"/>
        <v>0</v>
      </c>
      <c r="AJ419" s="379">
        <f t="shared" si="452"/>
        <v>0</v>
      </c>
      <c r="AK419" s="379">
        <f t="shared" si="453"/>
        <v>0</v>
      </c>
      <c r="AL419" s="379">
        <f t="shared" si="454"/>
        <v>0</v>
      </c>
      <c r="AM419" s="379">
        <f t="shared" si="455"/>
        <v>0</v>
      </c>
      <c r="AN419" s="490">
        <f t="shared" si="456"/>
        <v>0</v>
      </c>
      <c r="AO419" s="379">
        <f t="shared" si="457"/>
        <v>0</v>
      </c>
      <c r="AP419" s="379">
        <f t="shared" si="458"/>
        <v>0</v>
      </c>
      <c r="AQ419" s="379">
        <f t="shared" si="459"/>
        <v>0</v>
      </c>
      <c r="AR419" s="379">
        <f t="shared" si="460"/>
        <v>0</v>
      </c>
      <c r="AS419" s="379">
        <f t="shared" si="461"/>
        <v>0</v>
      </c>
      <c r="AT419" s="379">
        <f t="shared" si="462"/>
        <v>0</v>
      </c>
      <c r="AU419" s="379">
        <f t="shared" si="463"/>
        <v>0</v>
      </c>
      <c r="AV419" s="379">
        <f t="shared" si="464"/>
        <v>0</v>
      </c>
      <c r="AW419" s="379">
        <f t="shared" si="465"/>
        <v>0</v>
      </c>
      <c r="AX419" s="379">
        <f t="shared" si="466"/>
        <v>0</v>
      </c>
      <c r="AY419" s="379">
        <f t="shared" si="467"/>
        <v>0</v>
      </c>
    </row>
    <row r="420" spans="1:51" x14ac:dyDescent="0.2">
      <c r="A420" s="376">
        <v>14500</v>
      </c>
      <c r="B420" s="378" t="str">
        <f t="shared" si="420"/>
        <v>Ku-ring-gai (A)</v>
      </c>
      <c r="C420" s="377" t="str">
        <f t="shared" si="421"/>
        <v>NSROC</v>
      </c>
      <c r="D420" s="503" t="str">
        <f t="shared" si="422"/>
        <v>S</v>
      </c>
      <c r="E420" s="503"/>
      <c r="F420"/>
      <c r="G420" s="379">
        <f t="shared" si="423"/>
        <v>124179</v>
      </c>
      <c r="H420" s="379">
        <f t="shared" si="424"/>
        <v>41624</v>
      </c>
      <c r="I420" s="379">
        <f t="shared" si="425"/>
        <v>455</v>
      </c>
      <c r="J420" s="379" t="str">
        <f t="shared" si="426"/>
        <v>Y</v>
      </c>
      <c r="K420" s="379">
        <f t="shared" si="427"/>
        <v>42870</v>
      </c>
      <c r="L420" s="379">
        <f t="shared" si="428"/>
        <v>0</v>
      </c>
      <c r="M420" s="379">
        <f t="shared" si="429"/>
        <v>42870</v>
      </c>
      <c r="N420" s="379">
        <f t="shared" si="430"/>
        <v>35392</v>
      </c>
      <c r="O420" s="379">
        <f t="shared" si="431"/>
        <v>0</v>
      </c>
      <c r="P420" s="379" t="str">
        <f t="shared" si="432"/>
        <v>Y</v>
      </c>
      <c r="Q420" s="379">
        <f t="shared" si="433"/>
        <v>0</v>
      </c>
      <c r="R420" s="379">
        <f t="shared" si="434"/>
        <v>0</v>
      </c>
      <c r="S420" s="379">
        <f t="shared" si="435"/>
        <v>0</v>
      </c>
      <c r="T420" s="379">
        <f t="shared" si="436"/>
        <v>0</v>
      </c>
      <c r="U420" s="379">
        <f t="shared" si="437"/>
        <v>0</v>
      </c>
      <c r="V420" s="379">
        <f t="shared" si="438"/>
        <v>0</v>
      </c>
      <c r="W420" s="379">
        <f t="shared" si="439"/>
        <v>0</v>
      </c>
      <c r="X420" s="379">
        <f t="shared" si="440"/>
        <v>0</v>
      </c>
      <c r="Y420" s="379">
        <f t="shared" si="441"/>
        <v>0</v>
      </c>
      <c r="Z420" s="379">
        <f t="shared" si="442"/>
        <v>0</v>
      </c>
      <c r="AA420" s="379">
        <f t="shared" si="443"/>
        <v>0</v>
      </c>
      <c r="AB420" s="379">
        <f t="shared" si="444"/>
        <v>0</v>
      </c>
      <c r="AC420" s="379">
        <f t="shared" si="445"/>
        <v>0</v>
      </c>
      <c r="AD420" s="379">
        <f t="shared" si="446"/>
        <v>0</v>
      </c>
      <c r="AE420" s="379">
        <f t="shared" si="447"/>
        <v>0</v>
      </c>
      <c r="AF420" s="379">
        <f t="shared" si="448"/>
        <v>0</v>
      </c>
      <c r="AG420" s="379">
        <f t="shared" si="449"/>
        <v>0</v>
      </c>
      <c r="AH420" s="379">
        <f t="shared" si="450"/>
        <v>0</v>
      </c>
      <c r="AI420" s="379">
        <f t="shared" si="451"/>
        <v>0</v>
      </c>
      <c r="AJ420" s="379">
        <f t="shared" si="452"/>
        <v>0</v>
      </c>
      <c r="AK420" s="379">
        <f t="shared" si="453"/>
        <v>0</v>
      </c>
      <c r="AL420" s="379">
        <f t="shared" si="454"/>
        <v>0</v>
      </c>
      <c r="AM420" s="379">
        <f t="shared" si="455"/>
        <v>0</v>
      </c>
      <c r="AN420" s="490">
        <f t="shared" si="456"/>
        <v>0</v>
      </c>
      <c r="AO420" s="379">
        <f t="shared" si="457"/>
        <v>0</v>
      </c>
      <c r="AP420" s="379">
        <f t="shared" si="458"/>
        <v>0</v>
      </c>
      <c r="AQ420" s="379">
        <f t="shared" si="459"/>
        <v>0</v>
      </c>
      <c r="AR420" s="379">
        <f t="shared" si="460"/>
        <v>0</v>
      </c>
      <c r="AS420" s="379">
        <f t="shared" si="461"/>
        <v>0</v>
      </c>
      <c r="AT420" s="379">
        <f t="shared" si="462"/>
        <v>0</v>
      </c>
      <c r="AU420" s="379">
        <f t="shared" si="463"/>
        <v>0</v>
      </c>
      <c r="AV420" s="379">
        <f t="shared" si="464"/>
        <v>0</v>
      </c>
      <c r="AW420" s="379">
        <f t="shared" si="465"/>
        <v>0</v>
      </c>
      <c r="AX420" s="379">
        <f t="shared" si="466"/>
        <v>0</v>
      </c>
      <c r="AY420" s="379">
        <f t="shared" si="467"/>
        <v>0</v>
      </c>
    </row>
    <row r="421" spans="1:51" x14ac:dyDescent="0.2">
      <c r="A421" s="376">
        <v>14700</v>
      </c>
      <c r="B421" s="378" t="str">
        <f t="shared" si="420"/>
        <v>Lane Cove (A)</v>
      </c>
      <c r="C421" s="377" t="str">
        <f t="shared" si="421"/>
        <v>NSROC</v>
      </c>
      <c r="D421" s="503" t="str">
        <f t="shared" si="422"/>
        <v>S</v>
      </c>
      <c r="E421" s="503"/>
      <c r="F421"/>
      <c r="G421" s="379">
        <f t="shared" si="423"/>
        <v>36996</v>
      </c>
      <c r="H421" s="379">
        <f t="shared" si="424"/>
        <v>15942</v>
      </c>
      <c r="I421" s="379">
        <f t="shared" si="425"/>
        <v>425</v>
      </c>
      <c r="J421" s="379" t="str">
        <f t="shared" si="426"/>
        <v>Y</v>
      </c>
      <c r="K421" s="379">
        <f t="shared" si="427"/>
        <v>10880</v>
      </c>
      <c r="L421" s="379">
        <f t="shared" si="428"/>
        <v>0</v>
      </c>
      <c r="M421" s="379">
        <f t="shared" si="429"/>
        <v>15942</v>
      </c>
      <c r="N421" s="379">
        <f t="shared" si="430"/>
        <v>13456</v>
      </c>
      <c r="O421" s="379">
        <f t="shared" si="431"/>
        <v>0</v>
      </c>
      <c r="P421" s="379" t="str">
        <f t="shared" si="432"/>
        <v>Y</v>
      </c>
      <c r="Q421" s="379">
        <f t="shared" si="433"/>
        <v>0</v>
      </c>
      <c r="R421" s="379">
        <f t="shared" si="434"/>
        <v>0</v>
      </c>
      <c r="S421" s="379">
        <f t="shared" si="435"/>
        <v>0</v>
      </c>
      <c r="T421" s="379">
        <f t="shared" si="436"/>
        <v>0</v>
      </c>
      <c r="U421" s="379">
        <f t="shared" si="437"/>
        <v>0</v>
      </c>
      <c r="V421" s="379">
        <f t="shared" si="438"/>
        <v>0</v>
      </c>
      <c r="W421" s="379">
        <f t="shared" si="439"/>
        <v>0</v>
      </c>
      <c r="X421" s="379">
        <f t="shared" si="440"/>
        <v>0</v>
      </c>
      <c r="Y421" s="379">
        <f t="shared" si="441"/>
        <v>0</v>
      </c>
      <c r="Z421" s="379">
        <f t="shared" si="442"/>
        <v>0</v>
      </c>
      <c r="AA421" s="379">
        <f t="shared" si="443"/>
        <v>0</v>
      </c>
      <c r="AB421" s="379">
        <f t="shared" si="444"/>
        <v>0</v>
      </c>
      <c r="AC421" s="379">
        <f t="shared" si="445"/>
        <v>0</v>
      </c>
      <c r="AD421" s="379">
        <f t="shared" si="446"/>
        <v>0</v>
      </c>
      <c r="AE421" s="379">
        <f t="shared" si="447"/>
        <v>0</v>
      </c>
      <c r="AF421" s="379">
        <f t="shared" si="448"/>
        <v>0</v>
      </c>
      <c r="AG421" s="379">
        <f t="shared" si="449"/>
        <v>0</v>
      </c>
      <c r="AH421" s="379">
        <f t="shared" si="450"/>
        <v>0</v>
      </c>
      <c r="AI421" s="379">
        <f t="shared" si="451"/>
        <v>0</v>
      </c>
      <c r="AJ421" s="379">
        <f t="shared" si="452"/>
        <v>0</v>
      </c>
      <c r="AK421" s="379">
        <f t="shared" si="453"/>
        <v>0</v>
      </c>
      <c r="AL421" s="379">
        <f t="shared" si="454"/>
        <v>0</v>
      </c>
      <c r="AM421" s="379">
        <f t="shared" si="455"/>
        <v>0</v>
      </c>
      <c r="AN421" s="490">
        <f t="shared" si="456"/>
        <v>0</v>
      </c>
      <c r="AO421" s="379">
        <f t="shared" si="457"/>
        <v>0</v>
      </c>
      <c r="AP421" s="379">
        <f t="shared" si="458"/>
        <v>0</v>
      </c>
      <c r="AQ421" s="379">
        <f t="shared" si="459"/>
        <v>0</v>
      </c>
      <c r="AR421" s="379">
        <f t="shared" si="460"/>
        <v>0</v>
      </c>
      <c r="AS421" s="379">
        <f t="shared" si="461"/>
        <v>0</v>
      </c>
      <c r="AT421" s="379">
        <f t="shared" si="462"/>
        <v>0</v>
      </c>
      <c r="AU421" s="379">
        <f t="shared" si="463"/>
        <v>0</v>
      </c>
      <c r="AV421" s="379">
        <f t="shared" si="464"/>
        <v>0</v>
      </c>
      <c r="AW421" s="379">
        <f t="shared" si="465"/>
        <v>0</v>
      </c>
      <c r="AX421" s="379">
        <f t="shared" si="466"/>
        <v>0</v>
      </c>
      <c r="AY421" s="379">
        <f t="shared" si="467"/>
        <v>0</v>
      </c>
    </row>
    <row r="422" spans="1:51" x14ac:dyDescent="0.2">
      <c r="A422" s="376">
        <v>14900</v>
      </c>
      <c r="B422" s="378" t="str">
        <f t="shared" si="420"/>
        <v>Liverpool (C)</v>
      </c>
      <c r="C422" s="377" t="str">
        <f t="shared" si="421"/>
        <v>WSROC</v>
      </c>
      <c r="D422" s="503" t="str">
        <f t="shared" si="422"/>
        <v>S</v>
      </c>
      <c r="E422" s="503"/>
      <c r="F422"/>
      <c r="G422" s="379">
        <f t="shared" si="423"/>
        <v>210113</v>
      </c>
      <c r="H422" s="379">
        <f t="shared" si="424"/>
        <v>63921</v>
      </c>
      <c r="I422" s="379">
        <f t="shared" si="425"/>
        <v>411</v>
      </c>
      <c r="J422" s="379" t="str">
        <f t="shared" si="426"/>
        <v>Y</v>
      </c>
      <c r="K422" s="379">
        <f t="shared" si="427"/>
        <v>63985</v>
      </c>
      <c r="L422" s="379" t="str">
        <f t="shared" si="428"/>
        <v>Y</v>
      </c>
      <c r="M422" s="379">
        <f t="shared" si="429"/>
        <v>63043</v>
      </c>
      <c r="N422" s="379">
        <f t="shared" si="430"/>
        <v>52675</v>
      </c>
      <c r="O422" s="379">
        <f t="shared" si="431"/>
        <v>0</v>
      </c>
      <c r="P422" s="379" t="str">
        <f t="shared" si="432"/>
        <v>Y</v>
      </c>
      <c r="Q422" s="379" t="str">
        <f t="shared" si="433"/>
        <v>Y</v>
      </c>
      <c r="R422" s="379" t="str">
        <f t="shared" si="434"/>
        <v>Liverpool CRC</v>
      </c>
      <c r="S422" s="379">
        <f t="shared" si="435"/>
        <v>0</v>
      </c>
      <c r="T422" s="379">
        <f t="shared" si="436"/>
        <v>0</v>
      </c>
      <c r="U422" s="379">
        <f t="shared" si="437"/>
        <v>0</v>
      </c>
      <c r="V422" s="379">
        <f t="shared" si="438"/>
        <v>0</v>
      </c>
      <c r="W422" s="379">
        <f t="shared" si="439"/>
        <v>0</v>
      </c>
      <c r="X422" s="379">
        <f t="shared" si="440"/>
        <v>0</v>
      </c>
      <c r="Y422" s="379">
        <f t="shared" si="441"/>
        <v>0</v>
      </c>
      <c r="Z422" s="379">
        <f t="shared" si="442"/>
        <v>0</v>
      </c>
      <c r="AA422" s="379">
        <f t="shared" si="443"/>
        <v>0</v>
      </c>
      <c r="AB422" s="379">
        <f t="shared" si="444"/>
        <v>0</v>
      </c>
      <c r="AC422" s="379">
        <f t="shared" si="445"/>
        <v>0</v>
      </c>
      <c r="AD422" s="379">
        <f t="shared" si="446"/>
        <v>0</v>
      </c>
      <c r="AE422" s="379">
        <f t="shared" si="447"/>
        <v>0</v>
      </c>
      <c r="AF422" s="379">
        <f t="shared" si="448"/>
        <v>0</v>
      </c>
      <c r="AG422" s="379">
        <f t="shared" si="449"/>
        <v>0</v>
      </c>
      <c r="AH422" s="379">
        <f t="shared" si="450"/>
        <v>0</v>
      </c>
      <c r="AI422" s="379">
        <f t="shared" si="451"/>
        <v>0</v>
      </c>
      <c r="AJ422" s="379">
        <f t="shared" si="452"/>
        <v>0</v>
      </c>
      <c r="AK422" s="379">
        <f t="shared" si="453"/>
        <v>0</v>
      </c>
      <c r="AL422" s="379">
        <f t="shared" si="454"/>
        <v>0</v>
      </c>
      <c r="AM422" s="379">
        <f t="shared" si="455"/>
        <v>0</v>
      </c>
      <c r="AN422" s="490">
        <f t="shared" si="456"/>
        <v>0</v>
      </c>
      <c r="AO422" s="379">
        <f t="shared" si="457"/>
        <v>0</v>
      </c>
      <c r="AP422" s="379">
        <f t="shared" si="458"/>
        <v>0</v>
      </c>
      <c r="AQ422" s="379">
        <f t="shared" si="459"/>
        <v>0</v>
      </c>
      <c r="AR422" s="379">
        <f t="shared" si="460"/>
        <v>0</v>
      </c>
      <c r="AS422" s="379">
        <f t="shared" si="461"/>
        <v>0</v>
      </c>
      <c r="AT422" s="379">
        <f t="shared" si="462"/>
        <v>0</v>
      </c>
      <c r="AU422" s="379">
        <f t="shared" si="463"/>
        <v>0</v>
      </c>
      <c r="AV422" s="379">
        <f t="shared" si="464"/>
        <v>0</v>
      </c>
      <c r="AW422" s="379">
        <f t="shared" si="465"/>
        <v>0</v>
      </c>
      <c r="AX422" s="379">
        <f t="shared" si="466"/>
        <v>0</v>
      </c>
      <c r="AY422" s="379">
        <f t="shared" si="467"/>
        <v>0</v>
      </c>
    </row>
    <row r="423" spans="1:51" x14ac:dyDescent="0.2">
      <c r="A423" s="376">
        <v>15350</v>
      </c>
      <c r="B423" s="378" t="str">
        <f t="shared" si="420"/>
        <v>Mosman (A)</v>
      </c>
      <c r="C423" s="377" t="str">
        <f t="shared" si="421"/>
        <v>NSROC</v>
      </c>
      <c r="D423" s="503" t="str">
        <f t="shared" si="422"/>
        <v>S</v>
      </c>
      <c r="E423" s="503"/>
      <c r="F423"/>
      <c r="G423" s="379">
        <f t="shared" si="423"/>
        <v>30646</v>
      </c>
      <c r="H423" s="379">
        <f t="shared" si="424"/>
        <v>13288</v>
      </c>
      <c r="I423" s="379">
        <f t="shared" si="425"/>
        <v>348</v>
      </c>
      <c r="J423" s="379" t="str">
        <f t="shared" si="426"/>
        <v>Y</v>
      </c>
      <c r="K423" s="379">
        <f t="shared" si="427"/>
        <v>12695</v>
      </c>
      <c r="L423" s="379">
        <f t="shared" si="428"/>
        <v>0</v>
      </c>
      <c r="M423" s="379">
        <f t="shared" si="429"/>
        <v>12695</v>
      </c>
      <c r="N423" s="379">
        <f t="shared" si="430"/>
        <v>12695</v>
      </c>
      <c r="O423" s="379">
        <f t="shared" si="431"/>
        <v>0</v>
      </c>
      <c r="P423" s="379" t="str">
        <f t="shared" si="432"/>
        <v>Y</v>
      </c>
      <c r="Q423" s="379">
        <f t="shared" si="433"/>
        <v>0</v>
      </c>
      <c r="R423" s="379">
        <f t="shared" si="434"/>
        <v>0</v>
      </c>
      <c r="S423" s="379">
        <f t="shared" si="435"/>
        <v>0</v>
      </c>
      <c r="T423" s="379">
        <f t="shared" si="436"/>
        <v>0</v>
      </c>
      <c r="U423" s="379">
        <f t="shared" si="437"/>
        <v>0</v>
      </c>
      <c r="V423" s="379">
        <f t="shared" si="438"/>
        <v>0</v>
      </c>
      <c r="W423" s="379">
        <f t="shared" si="439"/>
        <v>0</v>
      </c>
      <c r="X423" s="379">
        <f t="shared" si="440"/>
        <v>0</v>
      </c>
      <c r="Y423" s="379">
        <f t="shared" si="441"/>
        <v>0</v>
      </c>
      <c r="Z423" s="379">
        <f t="shared" si="442"/>
        <v>0</v>
      </c>
      <c r="AA423" s="379">
        <f t="shared" si="443"/>
        <v>0</v>
      </c>
      <c r="AB423" s="379">
        <f t="shared" si="444"/>
        <v>0</v>
      </c>
      <c r="AC423" s="379">
        <f t="shared" si="445"/>
        <v>0</v>
      </c>
      <c r="AD423" s="379">
        <f t="shared" si="446"/>
        <v>0</v>
      </c>
      <c r="AE423" s="379">
        <f t="shared" si="447"/>
        <v>0</v>
      </c>
      <c r="AF423" s="379">
        <f t="shared" si="448"/>
        <v>0</v>
      </c>
      <c r="AG423" s="379">
        <f t="shared" si="449"/>
        <v>0</v>
      </c>
      <c r="AH423" s="379">
        <f t="shared" si="450"/>
        <v>0</v>
      </c>
      <c r="AI423" s="379">
        <f t="shared" si="451"/>
        <v>0</v>
      </c>
      <c r="AJ423" s="379">
        <f t="shared" si="452"/>
        <v>0</v>
      </c>
      <c r="AK423" s="379">
        <f t="shared" si="453"/>
        <v>0</v>
      </c>
      <c r="AL423" s="379">
        <f t="shared" si="454"/>
        <v>0</v>
      </c>
      <c r="AM423" s="379">
        <f t="shared" si="455"/>
        <v>0</v>
      </c>
      <c r="AN423" s="490">
        <f t="shared" si="456"/>
        <v>0</v>
      </c>
      <c r="AO423" s="379">
        <f t="shared" si="457"/>
        <v>0</v>
      </c>
      <c r="AP423" s="379">
        <f t="shared" si="458"/>
        <v>0</v>
      </c>
      <c r="AQ423" s="379">
        <f t="shared" si="459"/>
        <v>0</v>
      </c>
      <c r="AR423" s="379">
        <f t="shared" si="460"/>
        <v>0</v>
      </c>
      <c r="AS423" s="379">
        <f t="shared" si="461"/>
        <v>0</v>
      </c>
      <c r="AT423" s="379">
        <f t="shared" si="462"/>
        <v>0</v>
      </c>
      <c r="AU423" s="379">
        <f t="shared" si="463"/>
        <v>0</v>
      </c>
      <c r="AV423" s="379">
        <f t="shared" si="464"/>
        <v>0</v>
      </c>
      <c r="AW423" s="379">
        <f t="shared" si="465"/>
        <v>0</v>
      </c>
      <c r="AX423" s="379">
        <f t="shared" si="466"/>
        <v>0</v>
      </c>
      <c r="AY423" s="379">
        <f t="shared" si="467"/>
        <v>0</v>
      </c>
    </row>
    <row r="424" spans="1:51" x14ac:dyDescent="0.2">
      <c r="A424" s="376">
        <v>15950</v>
      </c>
      <c r="B424" s="378" t="str">
        <f t="shared" si="420"/>
        <v>North Sydney (A)</v>
      </c>
      <c r="C424" s="377" t="str">
        <f t="shared" si="421"/>
        <v>NSROC</v>
      </c>
      <c r="D424" s="503" t="str">
        <f t="shared" si="422"/>
        <v>S</v>
      </c>
      <c r="E424" s="503"/>
      <c r="F424"/>
      <c r="G424" s="379">
        <f t="shared" si="423"/>
        <v>73514</v>
      </c>
      <c r="H424" s="379">
        <f t="shared" si="424"/>
        <v>36785</v>
      </c>
      <c r="I424" s="379">
        <f t="shared" si="425"/>
        <v>294</v>
      </c>
      <c r="J424" s="379" t="str">
        <f t="shared" si="426"/>
        <v>Y</v>
      </c>
      <c r="K424" s="379">
        <f t="shared" si="427"/>
        <v>35095</v>
      </c>
      <c r="L424" s="379" t="str">
        <f t="shared" si="428"/>
        <v>Y</v>
      </c>
      <c r="M424" s="379">
        <f t="shared" si="429"/>
        <v>36589</v>
      </c>
      <c r="N424" s="379">
        <f t="shared" si="430"/>
        <v>0</v>
      </c>
      <c r="O424" s="379">
        <f t="shared" si="431"/>
        <v>0</v>
      </c>
      <c r="P424" s="379" t="str">
        <f t="shared" si="432"/>
        <v>Y</v>
      </c>
      <c r="Q424" s="379" t="str">
        <f t="shared" si="433"/>
        <v>Y</v>
      </c>
      <c r="R424" s="379" t="str">
        <f t="shared" si="434"/>
        <v>Coal Loader</v>
      </c>
      <c r="S424" s="379" t="str">
        <f t="shared" si="435"/>
        <v>Northern Sydney CRC</v>
      </c>
      <c r="T424" s="379">
        <f t="shared" si="436"/>
        <v>0</v>
      </c>
      <c r="U424" s="379">
        <f t="shared" si="437"/>
        <v>0</v>
      </c>
      <c r="V424" s="379">
        <f t="shared" si="438"/>
        <v>0</v>
      </c>
      <c r="W424" s="379">
        <f t="shared" si="439"/>
        <v>0</v>
      </c>
      <c r="X424" s="379">
        <f t="shared" si="440"/>
        <v>0</v>
      </c>
      <c r="Y424" s="379">
        <f t="shared" si="441"/>
        <v>0</v>
      </c>
      <c r="Z424" s="379">
        <f t="shared" si="442"/>
        <v>0</v>
      </c>
      <c r="AA424" s="379">
        <f t="shared" si="443"/>
        <v>0</v>
      </c>
      <c r="AB424" s="379">
        <f t="shared" si="444"/>
        <v>0</v>
      </c>
      <c r="AC424" s="379">
        <f t="shared" si="445"/>
        <v>0</v>
      </c>
      <c r="AD424" s="379">
        <f t="shared" si="446"/>
        <v>0</v>
      </c>
      <c r="AE424" s="379">
        <f t="shared" si="447"/>
        <v>0</v>
      </c>
      <c r="AF424" s="379">
        <f t="shared" si="448"/>
        <v>0</v>
      </c>
      <c r="AG424" s="379">
        <f t="shared" si="449"/>
        <v>0</v>
      </c>
      <c r="AH424" s="379">
        <f t="shared" si="450"/>
        <v>0</v>
      </c>
      <c r="AI424" s="379">
        <f t="shared" si="451"/>
        <v>0</v>
      </c>
      <c r="AJ424" s="379">
        <f t="shared" si="452"/>
        <v>0</v>
      </c>
      <c r="AK424" s="379">
        <f t="shared" si="453"/>
        <v>0</v>
      </c>
      <c r="AL424" s="379">
        <f t="shared" si="454"/>
        <v>0</v>
      </c>
      <c r="AM424" s="379">
        <f t="shared" si="455"/>
        <v>0</v>
      </c>
      <c r="AN424" s="490">
        <f t="shared" si="456"/>
        <v>0</v>
      </c>
      <c r="AO424" s="379">
        <f t="shared" si="457"/>
        <v>0</v>
      </c>
      <c r="AP424" s="379">
        <f t="shared" si="458"/>
        <v>0</v>
      </c>
      <c r="AQ424" s="379">
        <f t="shared" si="459"/>
        <v>0</v>
      </c>
      <c r="AR424" s="379">
        <f t="shared" si="460"/>
        <v>0</v>
      </c>
      <c r="AS424" s="379">
        <f t="shared" si="461"/>
        <v>0</v>
      </c>
      <c r="AT424" s="379">
        <f t="shared" si="462"/>
        <v>0</v>
      </c>
      <c r="AU424" s="379">
        <f t="shared" si="463"/>
        <v>0</v>
      </c>
      <c r="AV424" s="379">
        <f t="shared" si="464"/>
        <v>0</v>
      </c>
      <c r="AW424" s="379">
        <f t="shared" si="465"/>
        <v>0</v>
      </c>
      <c r="AX424" s="379">
        <f t="shared" si="466"/>
        <v>0</v>
      </c>
      <c r="AY424" s="379">
        <f t="shared" si="467"/>
        <v>0</v>
      </c>
    </row>
    <row r="425" spans="1:51" x14ac:dyDescent="0.2">
      <c r="A425" s="376">
        <v>15990</v>
      </c>
      <c r="B425" s="378" t="str">
        <f t="shared" si="420"/>
        <v>Northern Beaches (A)</v>
      </c>
      <c r="C425" s="377">
        <f t="shared" si="421"/>
        <v>0</v>
      </c>
      <c r="D425" s="503" t="str">
        <f t="shared" si="422"/>
        <v>S</v>
      </c>
      <c r="E425" s="503"/>
      <c r="F425"/>
      <c r="G425" s="379">
        <f t="shared" si="423"/>
        <v>268849</v>
      </c>
      <c r="H425" s="379">
        <f t="shared" si="424"/>
        <v>97067</v>
      </c>
      <c r="I425" s="379">
        <f t="shared" si="425"/>
        <v>609.33000000000004</v>
      </c>
      <c r="J425" s="379" t="str">
        <f t="shared" si="426"/>
        <v>Y</v>
      </c>
      <c r="K425" s="379">
        <f t="shared" si="427"/>
        <v>96847</v>
      </c>
      <c r="L425" s="379">
        <f t="shared" si="428"/>
        <v>0</v>
      </c>
      <c r="M425" s="379">
        <f t="shared" si="429"/>
        <v>93431</v>
      </c>
      <c r="N425" s="379">
        <f t="shared" si="430"/>
        <v>93303</v>
      </c>
      <c r="O425" s="379">
        <f t="shared" si="431"/>
        <v>0</v>
      </c>
      <c r="P425" s="379" t="str">
        <f t="shared" si="432"/>
        <v>Y</v>
      </c>
      <c r="Q425" s="379" t="str">
        <f t="shared" si="433"/>
        <v>Y</v>
      </c>
      <c r="R425" s="379" t="str">
        <f t="shared" si="434"/>
        <v>Kimbriki - Vegetation</v>
      </c>
      <c r="S425" s="379" t="str">
        <f t="shared" si="435"/>
        <v>Kimbriki - eWaste</v>
      </c>
      <c r="T425" s="379" t="str">
        <f t="shared" si="436"/>
        <v>Kimbriki - Charity</v>
      </c>
      <c r="U425" s="379">
        <f t="shared" si="437"/>
        <v>0</v>
      </c>
      <c r="V425" s="379">
        <f t="shared" si="438"/>
        <v>0</v>
      </c>
      <c r="W425" s="379">
        <f t="shared" si="439"/>
        <v>0</v>
      </c>
      <c r="X425" s="379">
        <f t="shared" si="440"/>
        <v>0</v>
      </c>
      <c r="Y425" s="379">
        <f t="shared" si="441"/>
        <v>0</v>
      </c>
      <c r="Z425" s="379">
        <f t="shared" si="442"/>
        <v>0</v>
      </c>
      <c r="AA425" s="379">
        <f t="shared" si="443"/>
        <v>0</v>
      </c>
      <c r="AB425" s="379">
        <f t="shared" si="444"/>
        <v>0</v>
      </c>
      <c r="AC425" s="379">
        <f t="shared" si="445"/>
        <v>0</v>
      </c>
      <c r="AD425" s="379">
        <f t="shared" si="446"/>
        <v>0</v>
      </c>
      <c r="AE425" s="379">
        <f t="shared" si="447"/>
        <v>0</v>
      </c>
      <c r="AF425" s="379">
        <f t="shared" si="448"/>
        <v>0</v>
      </c>
      <c r="AG425" s="379">
        <f t="shared" si="449"/>
        <v>0</v>
      </c>
      <c r="AH425" s="379">
        <f t="shared" si="450"/>
        <v>0</v>
      </c>
      <c r="AI425" s="379">
        <f t="shared" si="451"/>
        <v>0</v>
      </c>
      <c r="AJ425" s="379">
        <f t="shared" si="452"/>
        <v>0</v>
      </c>
      <c r="AK425" s="379">
        <f t="shared" si="453"/>
        <v>0</v>
      </c>
      <c r="AL425" s="379">
        <f t="shared" si="454"/>
        <v>0</v>
      </c>
      <c r="AM425" s="379">
        <f t="shared" si="455"/>
        <v>0</v>
      </c>
      <c r="AN425" s="490">
        <f t="shared" si="456"/>
        <v>0</v>
      </c>
      <c r="AO425" s="379">
        <f t="shared" si="457"/>
        <v>0</v>
      </c>
      <c r="AP425" s="379">
        <f t="shared" si="458"/>
        <v>0</v>
      </c>
      <c r="AQ425" s="379">
        <f t="shared" si="459"/>
        <v>0</v>
      </c>
      <c r="AR425" s="379">
        <f t="shared" si="460"/>
        <v>0</v>
      </c>
      <c r="AS425" s="379">
        <f t="shared" si="461"/>
        <v>0</v>
      </c>
      <c r="AT425" s="379">
        <f t="shared" si="462"/>
        <v>0</v>
      </c>
      <c r="AU425" s="379">
        <f t="shared" si="463"/>
        <v>0</v>
      </c>
      <c r="AV425" s="379">
        <f t="shared" si="464"/>
        <v>0</v>
      </c>
      <c r="AW425" s="379">
        <f t="shared" si="465"/>
        <v>0</v>
      </c>
      <c r="AX425" s="379">
        <f t="shared" si="466"/>
        <v>0</v>
      </c>
      <c r="AY425" s="379">
        <f t="shared" si="467"/>
        <v>0</v>
      </c>
    </row>
    <row r="426" spans="1:51" x14ac:dyDescent="0.2">
      <c r="A426" s="376">
        <v>16260</v>
      </c>
      <c r="B426" s="378" t="str">
        <f t="shared" si="420"/>
        <v>Parramatta (C)</v>
      </c>
      <c r="C426" s="377" t="str">
        <f t="shared" si="421"/>
        <v>WSROC</v>
      </c>
      <c r="D426" s="503" t="str">
        <f t="shared" si="422"/>
        <v>S</v>
      </c>
      <c r="E426" s="503"/>
      <c r="F426"/>
      <c r="G426" s="379">
        <f t="shared" si="423"/>
        <v>235981</v>
      </c>
      <c r="H426" s="379">
        <f t="shared" si="424"/>
        <v>65000</v>
      </c>
      <c r="I426" s="379">
        <f t="shared" si="425"/>
        <v>403.5</v>
      </c>
      <c r="J426" s="379" t="str">
        <f t="shared" si="426"/>
        <v>Y</v>
      </c>
      <c r="K426" s="379">
        <f t="shared" si="427"/>
        <v>61908</v>
      </c>
      <c r="L426" s="379" t="str">
        <f t="shared" si="428"/>
        <v>Y</v>
      </c>
      <c r="M426" s="379">
        <f t="shared" si="429"/>
        <v>54263</v>
      </c>
      <c r="N426" s="379">
        <f t="shared" si="430"/>
        <v>38949</v>
      </c>
      <c r="O426" s="379">
        <f t="shared" si="431"/>
        <v>0</v>
      </c>
      <c r="P426" s="379" t="str">
        <f t="shared" si="432"/>
        <v>Y</v>
      </c>
      <c r="Q426" s="379">
        <f t="shared" si="433"/>
        <v>0</v>
      </c>
      <c r="R426" s="379">
        <f t="shared" si="434"/>
        <v>0</v>
      </c>
      <c r="S426" s="379">
        <f t="shared" si="435"/>
        <v>0</v>
      </c>
      <c r="T426" s="379">
        <f t="shared" si="436"/>
        <v>0</v>
      </c>
      <c r="U426" s="379">
        <f t="shared" si="437"/>
        <v>0</v>
      </c>
      <c r="V426" s="379">
        <f t="shared" si="438"/>
        <v>0</v>
      </c>
      <c r="W426" s="379">
        <f t="shared" si="439"/>
        <v>0</v>
      </c>
      <c r="X426" s="379">
        <f t="shared" si="440"/>
        <v>0</v>
      </c>
      <c r="Y426" s="379">
        <f t="shared" si="441"/>
        <v>0</v>
      </c>
      <c r="Z426" s="379">
        <f t="shared" si="442"/>
        <v>0</v>
      </c>
      <c r="AA426" s="379">
        <f t="shared" si="443"/>
        <v>0</v>
      </c>
      <c r="AB426" s="379">
        <f t="shared" si="444"/>
        <v>0</v>
      </c>
      <c r="AC426" s="379">
        <f t="shared" si="445"/>
        <v>0</v>
      </c>
      <c r="AD426" s="379">
        <f t="shared" si="446"/>
        <v>0</v>
      </c>
      <c r="AE426" s="379">
        <f t="shared" si="447"/>
        <v>0</v>
      </c>
      <c r="AF426" s="379">
        <f t="shared" si="448"/>
        <v>0</v>
      </c>
      <c r="AG426" s="379">
        <f t="shared" si="449"/>
        <v>0</v>
      </c>
      <c r="AH426" s="379">
        <f t="shared" si="450"/>
        <v>0</v>
      </c>
      <c r="AI426" s="379">
        <f t="shared" si="451"/>
        <v>0</v>
      </c>
      <c r="AJ426" s="379">
        <f t="shared" si="452"/>
        <v>0</v>
      </c>
      <c r="AK426" s="379">
        <f t="shared" si="453"/>
        <v>0</v>
      </c>
      <c r="AL426" s="379">
        <f t="shared" si="454"/>
        <v>0</v>
      </c>
      <c r="AM426" s="379">
        <f t="shared" si="455"/>
        <v>0</v>
      </c>
      <c r="AN426" s="490">
        <f t="shared" si="456"/>
        <v>0</v>
      </c>
      <c r="AO426" s="379">
        <f t="shared" si="457"/>
        <v>0</v>
      </c>
      <c r="AP426" s="379">
        <f t="shared" si="458"/>
        <v>0</v>
      </c>
      <c r="AQ426" s="379">
        <f t="shared" si="459"/>
        <v>0</v>
      </c>
      <c r="AR426" s="379">
        <f t="shared" si="460"/>
        <v>0</v>
      </c>
      <c r="AS426" s="379">
        <f t="shared" si="461"/>
        <v>0</v>
      </c>
      <c r="AT426" s="379">
        <f t="shared" si="462"/>
        <v>0</v>
      </c>
      <c r="AU426" s="379">
        <f t="shared" si="463"/>
        <v>0</v>
      </c>
      <c r="AV426" s="379">
        <f t="shared" si="464"/>
        <v>0</v>
      </c>
      <c r="AW426" s="379">
        <f t="shared" si="465"/>
        <v>0</v>
      </c>
      <c r="AX426" s="379">
        <f t="shared" si="466"/>
        <v>0</v>
      </c>
      <c r="AY426" s="379">
        <f t="shared" si="467"/>
        <v>0</v>
      </c>
    </row>
    <row r="427" spans="1:51" x14ac:dyDescent="0.2">
      <c r="A427" s="376">
        <v>16350</v>
      </c>
      <c r="B427" s="378" t="str">
        <f t="shared" si="420"/>
        <v>Penrith (C)</v>
      </c>
      <c r="C427" s="377" t="str">
        <f t="shared" si="421"/>
        <v>WSROC</v>
      </c>
      <c r="D427" s="503" t="str">
        <f t="shared" si="422"/>
        <v>S</v>
      </c>
      <c r="E427" s="503"/>
      <c r="F427"/>
      <c r="G427" s="379">
        <f t="shared" si="423"/>
        <v>202076</v>
      </c>
      <c r="H427" s="379">
        <f t="shared" si="424"/>
        <v>72414</v>
      </c>
      <c r="I427" s="379">
        <f t="shared" si="425"/>
        <v>384</v>
      </c>
      <c r="J427" s="379" t="str">
        <f t="shared" si="426"/>
        <v>Y</v>
      </c>
      <c r="K427" s="379">
        <f t="shared" si="427"/>
        <v>72414</v>
      </c>
      <c r="L427" s="379" t="str">
        <f t="shared" si="428"/>
        <v>Y</v>
      </c>
      <c r="M427" s="379">
        <f t="shared" si="429"/>
        <v>72414</v>
      </c>
      <c r="N427" s="379">
        <f t="shared" si="430"/>
        <v>0</v>
      </c>
      <c r="O427" s="379">
        <f t="shared" si="431"/>
        <v>56140</v>
      </c>
      <c r="P427" s="379" t="str">
        <f t="shared" si="432"/>
        <v>Y</v>
      </c>
      <c r="Q427" s="379" t="str">
        <f t="shared" si="433"/>
        <v>Y</v>
      </c>
      <c r="R427" s="379" t="str">
        <f t="shared" si="434"/>
        <v>Libraries</v>
      </c>
      <c r="S427" s="379">
        <f t="shared" si="435"/>
        <v>0</v>
      </c>
      <c r="T427" s="379">
        <f t="shared" si="436"/>
        <v>0</v>
      </c>
      <c r="U427" s="379">
        <f t="shared" si="437"/>
        <v>0</v>
      </c>
      <c r="V427" s="379">
        <f t="shared" si="438"/>
        <v>0</v>
      </c>
      <c r="W427" s="379">
        <f t="shared" si="439"/>
        <v>0</v>
      </c>
      <c r="X427" s="379">
        <f t="shared" si="440"/>
        <v>0</v>
      </c>
      <c r="Y427" s="379">
        <f t="shared" si="441"/>
        <v>0</v>
      </c>
      <c r="Z427" s="379">
        <f t="shared" si="442"/>
        <v>0</v>
      </c>
      <c r="AA427" s="379">
        <f t="shared" si="443"/>
        <v>0</v>
      </c>
      <c r="AB427" s="379">
        <f t="shared" si="444"/>
        <v>0</v>
      </c>
      <c r="AC427" s="379">
        <f t="shared" si="445"/>
        <v>0</v>
      </c>
      <c r="AD427" s="379">
        <f t="shared" si="446"/>
        <v>0</v>
      </c>
      <c r="AE427" s="379">
        <f t="shared" si="447"/>
        <v>0</v>
      </c>
      <c r="AF427" s="379">
        <f t="shared" si="448"/>
        <v>0</v>
      </c>
      <c r="AG427" s="379">
        <f t="shared" si="449"/>
        <v>0</v>
      </c>
      <c r="AH427" s="379">
        <f t="shared" si="450"/>
        <v>0</v>
      </c>
      <c r="AI427" s="379">
        <f t="shared" si="451"/>
        <v>0</v>
      </c>
      <c r="AJ427" s="379">
        <f t="shared" si="452"/>
        <v>0</v>
      </c>
      <c r="AK427" s="379">
        <f t="shared" si="453"/>
        <v>0</v>
      </c>
      <c r="AL427" s="379">
        <f t="shared" si="454"/>
        <v>0</v>
      </c>
      <c r="AM427" s="379">
        <f t="shared" si="455"/>
        <v>0</v>
      </c>
      <c r="AN427" s="490">
        <f t="shared" si="456"/>
        <v>0</v>
      </c>
      <c r="AO427" s="379">
        <f t="shared" si="457"/>
        <v>0</v>
      </c>
      <c r="AP427" s="379">
        <f t="shared" si="458"/>
        <v>0</v>
      </c>
      <c r="AQ427" s="379">
        <f t="shared" si="459"/>
        <v>0</v>
      </c>
      <c r="AR427" s="379">
        <f t="shared" si="460"/>
        <v>0</v>
      </c>
      <c r="AS427" s="379">
        <f t="shared" si="461"/>
        <v>0</v>
      </c>
      <c r="AT427" s="379">
        <f t="shared" si="462"/>
        <v>0</v>
      </c>
      <c r="AU427" s="379">
        <f t="shared" si="463"/>
        <v>0</v>
      </c>
      <c r="AV427" s="379">
        <f t="shared" si="464"/>
        <v>0</v>
      </c>
      <c r="AW427" s="379">
        <f t="shared" si="465"/>
        <v>0</v>
      </c>
      <c r="AX427" s="379">
        <f t="shared" si="466"/>
        <v>0</v>
      </c>
      <c r="AY427" s="379">
        <f t="shared" si="467"/>
        <v>0</v>
      </c>
    </row>
    <row r="428" spans="1:51" x14ac:dyDescent="0.2">
      <c r="A428" s="376">
        <v>16550</v>
      </c>
      <c r="B428" s="378" t="str">
        <f t="shared" si="420"/>
        <v>Randwick (C)</v>
      </c>
      <c r="C428" s="377" t="str">
        <f t="shared" si="421"/>
        <v>SSROC</v>
      </c>
      <c r="D428" s="503" t="str">
        <f t="shared" si="422"/>
        <v>S</v>
      </c>
      <c r="E428" s="503"/>
      <c r="F428"/>
      <c r="G428" s="379">
        <f t="shared" si="423"/>
        <v>147408</v>
      </c>
      <c r="H428" s="379">
        <f t="shared" si="424"/>
        <v>57679</v>
      </c>
      <c r="I428" s="379">
        <f t="shared" si="425"/>
        <v>543</v>
      </c>
      <c r="J428" s="379" t="str">
        <f t="shared" si="426"/>
        <v>Y</v>
      </c>
      <c r="K428" s="379">
        <f t="shared" si="427"/>
        <v>40605</v>
      </c>
      <c r="L428" s="379" t="str">
        <f t="shared" si="428"/>
        <v>Y</v>
      </c>
      <c r="M428" s="379">
        <f t="shared" si="429"/>
        <v>41710</v>
      </c>
      <c r="N428" s="379">
        <f t="shared" si="430"/>
        <v>30443</v>
      </c>
      <c r="O428" s="379">
        <f t="shared" si="431"/>
        <v>0</v>
      </c>
      <c r="P428" s="379" t="str">
        <f t="shared" si="432"/>
        <v>Y</v>
      </c>
      <c r="Q428" s="379" t="str">
        <f t="shared" si="433"/>
        <v>Y</v>
      </c>
      <c r="R428" s="379" t="str">
        <f t="shared" si="434"/>
        <v>Randwick Recycling Centre</v>
      </c>
      <c r="S428" s="379">
        <f t="shared" si="435"/>
        <v>0</v>
      </c>
      <c r="T428" s="379">
        <f t="shared" si="436"/>
        <v>0</v>
      </c>
      <c r="U428" s="379">
        <f t="shared" si="437"/>
        <v>0</v>
      </c>
      <c r="V428" s="379">
        <f t="shared" si="438"/>
        <v>0</v>
      </c>
      <c r="W428" s="379">
        <f t="shared" si="439"/>
        <v>0</v>
      </c>
      <c r="X428" s="379">
        <f t="shared" si="440"/>
        <v>0</v>
      </c>
      <c r="Y428" s="379">
        <f t="shared" si="441"/>
        <v>0</v>
      </c>
      <c r="Z428" s="379">
        <f t="shared" si="442"/>
        <v>0</v>
      </c>
      <c r="AA428" s="379">
        <f t="shared" si="443"/>
        <v>0</v>
      </c>
      <c r="AB428" s="379">
        <f t="shared" si="444"/>
        <v>0</v>
      </c>
      <c r="AC428" s="379">
        <f t="shared" si="445"/>
        <v>0</v>
      </c>
      <c r="AD428" s="379">
        <f t="shared" si="446"/>
        <v>0</v>
      </c>
      <c r="AE428" s="379">
        <f t="shared" si="447"/>
        <v>0</v>
      </c>
      <c r="AF428" s="379">
        <f t="shared" si="448"/>
        <v>0</v>
      </c>
      <c r="AG428" s="379">
        <f t="shared" si="449"/>
        <v>0</v>
      </c>
      <c r="AH428" s="379">
        <f t="shared" si="450"/>
        <v>0</v>
      </c>
      <c r="AI428" s="379">
        <f t="shared" si="451"/>
        <v>0</v>
      </c>
      <c r="AJ428" s="379">
        <f t="shared" si="452"/>
        <v>0</v>
      </c>
      <c r="AK428" s="379">
        <f t="shared" si="453"/>
        <v>0</v>
      </c>
      <c r="AL428" s="379">
        <f t="shared" si="454"/>
        <v>0</v>
      </c>
      <c r="AM428" s="379">
        <f t="shared" si="455"/>
        <v>0</v>
      </c>
      <c r="AN428" s="490">
        <f t="shared" si="456"/>
        <v>0</v>
      </c>
      <c r="AO428" s="379">
        <f t="shared" si="457"/>
        <v>0</v>
      </c>
      <c r="AP428" s="379">
        <f t="shared" si="458"/>
        <v>0</v>
      </c>
      <c r="AQ428" s="379">
        <f t="shared" si="459"/>
        <v>0</v>
      </c>
      <c r="AR428" s="379">
        <f t="shared" si="460"/>
        <v>0</v>
      </c>
      <c r="AS428" s="379">
        <f t="shared" si="461"/>
        <v>0</v>
      </c>
      <c r="AT428" s="379">
        <f t="shared" si="462"/>
        <v>0</v>
      </c>
      <c r="AU428" s="379">
        <f t="shared" si="463"/>
        <v>0</v>
      </c>
      <c r="AV428" s="379">
        <f t="shared" si="464"/>
        <v>0</v>
      </c>
      <c r="AW428" s="379">
        <f t="shared" si="465"/>
        <v>0</v>
      </c>
      <c r="AX428" s="379">
        <f t="shared" si="466"/>
        <v>0</v>
      </c>
      <c r="AY428" s="379">
        <f t="shared" si="467"/>
        <v>0</v>
      </c>
    </row>
    <row r="429" spans="1:51" x14ac:dyDescent="0.2">
      <c r="A429" s="376">
        <v>16700</v>
      </c>
      <c r="B429" s="378" t="str">
        <f t="shared" si="420"/>
        <v>Ryde (C)</v>
      </c>
      <c r="C429" s="377" t="str">
        <f t="shared" si="421"/>
        <v>NSROC</v>
      </c>
      <c r="D429" s="503" t="str">
        <f t="shared" si="422"/>
        <v>S</v>
      </c>
      <c r="E429" s="503"/>
      <c r="F429"/>
      <c r="G429" s="379">
        <f t="shared" si="423"/>
        <v>119544</v>
      </c>
      <c r="H429" s="379">
        <f t="shared" si="424"/>
        <v>45866</v>
      </c>
      <c r="I429" s="379">
        <f t="shared" si="425"/>
        <v>432</v>
      </c>
      <c r="J429" s="379" t="str">
        <f t="shared" si="426"/>
        <v>Y</v>
      </c>
      <c r="K429" s="379">
        <f t="shared" si="427"/>
        <v>33177</v>
      </c>
      <c r="L429" s="379">
        <f t="shared" si="428"/>
        <v>0</v>
      </c>
      <c r="M429" s="379">
        <f t="shared" si="429"/>
        <v>34185</v>
      </c>
      <c r="N429" s="379">
        <f t="shared" si="430"/>
        <v>27527</v>
      </c>
      <c r="O429" s="379">
        <f t="shared" si="431"/>
        <v>0</v>
      </c>
      <c r="P429" s="379" t="str">
        <f t="shared" si="432"/>
        <v>Y</v>
      </c>
      <c r="Q429" s="379" t="str">
        <f t="shared" si="433"/>
        <v>Y</v>
      </c>
      <c r="R429" s="379" t="str">
        <f t="shared" si="434"/>
        <v>Mobile Recycle Unit</v>
      </c>
      <c r="S429" s="379">
        <f t="shared" si="435"/>
        <v>0</v>
      </c>
      <c r="T429" s="379">
        <f t="shared" si="436"/>
        <v>0</v>
      </c>
      <c r="U429" s="379">
        <f t="shared" si="437"/>
        <v>0</v>
      </c>
      <c r="V429" s="379">
        <f t="shared" si="438"/>
        <v>0</v>
      </c>
      <c r="W429" s="379">
        <f t="shared" si="439"/>
        <v>0</v>
      </c>
      <c r="X429" s="379">
        <f t="shared" si="440"/>
        <v>0</v>
      </c>
      <c r="Y429" s="379">
        <f t="shared" si="441"/>
        <v>0</v>
      </c>
      <c r="Z429" s="379">
        <f t="shared" si="442"/>
        <v>0</v>
      </c>
      <c r="AA429" s="379">
        <f t="shared" si="443"/>
        <v>0</v>
      </c>
      <c r="AB429" s="379">
        <f t="shared" si="444"/>
        <v>0</v>
      </c>
      <c r="AC429" s="379">
        <f t="shared" si="445"/>
        <v>0</v>
      </c>
      <c r="AD429" s="379">
        <f t="shared" si="446"/>
        <v>0</v>
      </c>
      <c r="AE429" s="379">
        <f t="shared" si="447"/>
        <v>0</v>
      </c>
      <c r="AF429" s="379">
        <f t="shared" si="448"/>
        <v>0</v>
      </c>
      <c r="AG429" s="379">
        <f t="shared" si="449"/>
        <v>0</v>
      </c>
      <c r="AH429" s="379">
        <f t="shared" si="450"/>
        <v>0</v>
      </c>
      <c r="AI429" s="379">
        <f t="shared" si="451"/>
        <v>0</v>
      </c>
      <c r="AJ429" s="379">
        <f t="shared" si="452"/>
        <v>0</v>
      </c>
      <c r="AK429" s="379">
        <f t="shared" si="453"/>
        <v>0</v>
      </c>
      <c r="AL429" s="379">
        <f t="shared" si="454"/>
        <v>0</v>
      </c>
      <c r="AM429" s="379">
        <f t="shared" si="455"/>
        <v>0</v>
      </c>
      <c r="AN429" s="490">
        <f t="shared" si="456"/>
        <v>0</v>
      </c>
      <c r="AO429" s="379">
        <f t="shared" si="457"/>
        <v>0</v>
      </c>
      <c r="AP429" s="379">
        <f t="shared" si="458"/>
        <v>0</v>
      </c>
      <c r="AQ429" s="379">
        <f t="shared" si="459"/>
        <v>0</v>
      </c>
      <c r="AR429" s="379">
        <f t="shared" si="460"/>
        <v>0</v>
      </c>
      <c r="AS429" s="379">
        <f t="shared" si="461"/>
        <v>0</v>
      </c>
      <c r="AT429" s="379">
        <f t="shared" si="462"/>
        <v>0</v>
      </c>
      <c r="AU429" s="379">
        <f t="shared" si="463"/>
        <v>0</v>
      </c>
      <c r="AV429" s="379">
        <f t="shared" si="464"/>
        <v>0</v>
      </c>
      <c r="AW429" s="379">
        <f t="shared" si="465"/>
        <v>0</v>
      </c>
      <c r="AX429" s="379">
        <f t="shared" si="466"/>
        <v>0</v>
      </c>
      <c r="AY429" s="379">
        <f t="shared" si="467"/>
        <v>0</v>
      </c>
    </row>
    <row r="430" spans="1:51" x14ac:dyDescent="0.2">
      <c r="A430" s="376">
        <v>17100</v>
      </c>
      <c r="B430" s="378" t="str">
        <f t="shared" si="420"/>
        <v>Strathfield (A)</v>
      </c>
      <c r="C430" s="377">
        <f t="shared" si="421"/>
        <v>0</v>
      </c>
      <c r="D430" s="503" t="str">
        <f t="shared" si="422"/>
        <v>S</v>
      </c>
      <c r="E430" s="503"/>
      <c r="F430"/>
      <c r="G430" s="379">
        <f t="shared" si="423"/>
        <v>40963</v>
      </c>
      <c r="H430" s="379">
        <f t="shared" si="424"/>
        <v>11642</v>
      </c>
      <c r="I430" s="379">
        <f t="shared" si="425"/>
        <v>705</v>
      </c>
      <c r="J430" s="379" t="str">
        <f t="shared" si="426"/>
        <v>Y</v>
      </c>
      <c r="K430" s="379">
        <f t="shared" si="427"/>
        <v>8863</v>
      </c>
      <c r="L430" s="379">
        <f t="shared" si="428"/>
        <v>0</v>
      </c>
      <c r="M430" s="379">
        <f t="shared" si="429"/>
        <v>7627</v>
      </c>
      <c r="N430" s="379">
        <f t="shared" si="430"/>
        <v>3946</v>
      </c>
      <c r="O430" s="379">
        <f t="shared" si="431"/>
        <v>0</v>
      </c>
      <c r="P430" s="379" t="str">
        <f t="shared" si="432"/>
        <v>Y</v>
      </c>
      <c r="Q430" s="379">
        <f t="shared" si="433"/>
        <v>0</v>
      </c>
      <c r="R430" s="379">
        <f t="shared" si="434"/>
        <v>0</v>
      </c>
      <c r="S430" s="379">
        <f t="shared" si="435"/>
        <v>0</v>
      </c>
      <c r="T430" s="379">
        <f t="shared" si="436"/>
        <v>0</v>
      </c>
      <c r="U430" s="379">
        <f t="shared" si="437"/>
        <v>0</v>
      </c>
      <c r="V430" s="379">
        <f t="shared" si="438"/>
        <v>0</v>
      </c>
      <c r="W430" s="379">
        <f t="shared" si="439"/>
        <v>0</v>
      </c>
      <c r="X430" s="379">
        <f t="shared" si="440"/>
        <v>0</v>
      </c>
      <c r="Y430" s="379">
        <f t="shared" si="441"/>
        <v>0</v>
      </c>
      <c r="Z430" s="379">
        <f t="shared" si="442"/>
        <v>0</v>
      </c>
      <c r="AA430" s="379">
        <f t="shared" si="443"/>
        <v>0</v>
      </c>
      <c r="AB430" s="379">
        <f t="shared" si="444"/>
        <v>0</v>
      </c>
      <c r="AC430" s="379">
        <f t="shared" si="445"/>
        <v>0</v>
      </c>
      <c r="AD430" s="379">
        <f t="shared" si="446"/>
        <v>0</v>
      </c>
      <c r="AE430" s="379">
        <f t="shared" si="447"/>
        <v>0</v>
      </c>
      <c r="AF430" s="379">
        <f t="shared" si="448"/>
        <v>0</v>
      </c>
      <c r="AG430" s="379">
        <f t="shared" si="449"/>
        <v>0</v>
      </c>
      <c r="AH430" s="379">
        <f t="shared" si="450"/>
        <v>0</v>
      </c>
      <c r="AI430" s="379">
        <f t="shared" si="451"/>
        <v>0</v>
      </c>
      <c r="AJ430" s="379">
        <f t="shared" si="452"/>
        <v>0</v>
      </c>
      <c r="AK430" s="379">
        <f t="shared" si="453"/>
        <v>0</v>
      </c>
      <c r="AL430" s="379">
        <f t="shared" si="454"/>
        <v>0</v>
      </c>
      <c r="AM430" s="379">
        <f t="shared" si="455"/>
        <v>0</v>
      </c>
      <c r="AN430" s="490">
        <f t="shared" si="456"/>
        <v>0</v>
      </c>
      <c r="AO430" s="379">
        <f t="shared" si="457"/>
        <v>0</v>
      </c>
      <c r="AP430" s="379">
        <f t="shared" si="458"/>
        <v>0</v>
      </c>
      <c r="AQ430" s="379">
        <f t="shared" si="459"/>
        <v>0</v>
      </c>
      <c r="AR430" s="379">
        <f t="shared" si="460"/>
        <v>0</v>
      </c>
      <c r="AS430" s="379">
        <f t="shared" si="461"/>
        <v>0</v>
      </c>
      <c r="AT430" s="379">
        <f t="shared" si="462"/>
        <v>0</v>
      </c>
      <c r="AU430" s="379">
        <f t="shared" si="463"/>
        <v>0</v>
      </c>
      <c r="AV430" s="379">
        <f t="shared" si="464"/>
        <v>0</v>
      </c>
      <c r="AW430" s="379">
        <f t="shared" si="465"/>
        <v>0</v>
      </c>
      <c r="AX430" s="379">
        <f t="shared" si="466"/>
        <v>0</v>
      </c>
      <c r="AY430" s="379">
        <f t="shared" si="467"/>
        <v>0</v>
      </c>
    </row>
    <row r="431" spans="1:51" x14ac:dyDescent="0.2">
      <c r="A431" s="376">
        <v>17150</v>
      </c>
      <c r="B431" s="378" t="str">
        <f t="shared" si="420"/>
        <v>Sutherland Shire (A)</v>
      </c>
      <c r="C431" s="377" t="str">
        <f t="shared" si="421"/>
        <v>SSROC</v>
      </c>
      <c r="D431" s="503" t="str">
        <f t="shared" si="422"/>
        <v>S</v>
      </c>
      <c r="E431" s="503"/>
      <c r="F431"/>
      <c r="G431" s="379">
        <f t="shared" si="423"/>
        <v>227312</v>
      </c>
      <c r="H431" s="379">
        <f t="shared" si="424"/>
        <v>94814</v>
      </c>
      <c r="I431" s="379">
        <f t="shared" si="425"/>
        <v>456.3</v>
      </c>
      <c r="J431" s="379" t="str">
        <f t="shared" si="426"/>
        <v>Y</v>
      </c>
      <c r="K431" s="379">
        <f t="shared" si="427"/>
        <v>83738</v>
      </c>
      <c r="L431" s="379">
        <f t="shared" si="428"/>
        <v>0</v>
      </c>
      <c r="M431" s="379">
        <f t="shared" si="429"/>
        <v>83738</v>
      </c>
      <c r="N431" s="379">
        <f t="shared" si="430"/>
        <v>83738</v>
      </c>
      <c r="O431" s="379">
        <f t="shared" si="431"/>
        <v>0</v>
      </c>
      <c r="P431" s="379" t="str">
        <f t="shared" si="432"/>
        <v>Y</v>
      </c>
      <c r="Q431" s="379">
        <f t="shared" si="433"/>
        <v>0</v>
      </c>
      <c r="R431" s="379">
        <f t="shared" si="434"/>
        <v>0</v>
      </c>
      <c r="S431" s="379">
        <f t="shared" si="435"/>
        <v>0</v>
      </c>
      <c r="T431" s="379">
        <f t="shared" si="436"/>
        <v>0</v>
      </c>
      <c r="U431" s="379">
        <f t="shared" si="437"/>
        <v>0</v>
      </c>
      <c r="V431" s="379">
        <f t="shared" si="438"/>
        <v>0</v>
      </c>
      <c r="W431" s="379">
        <f t="shared" si="439"/>
        <v>0</v>
      </c>
      <c r="X431" s="379">
        <f t="shared" si="440"/>
        <v>0</v>
      </c>
      <c r="Y431" s="379">
        <f t="shared" si="441"/>
        <v>0</v>
      </c>
      <c r="Z431" s="379">
        <f t="shared" si="442"/>
        <v>0</v>
      </c>
      <c r="AA431" s="379">
        <f t="shared" si="443"/>
        <v>0</v>
      </c>
      <c r="AB431" s="379">
        <f t="shared" si="444"/>
        <v>0</v>
      </c>
      <c r="AC431" s="379">
        <f t="shared" si="445"/>
        <v>0</v>
      </c>
      <c r="AD431" s="379">
        <f t="shared" si="446"/>
        <v>0</v>
      </c>
      <c r="AE431" s="379">
        <f t="shared" si="447"/>
        <v>0</v>
      </c>
      <c r="AF431" s="379">
        <f t="shared" si="448"/>
        <v>0</v>
      </c>
      <c r="AG431" s="379">
        <f t="shared" si="449"/>
        <v>0</v>
      </c>
      <c r="AH431" s="379">
        <f t="shared" si="450"/>
        <v>0</v>
      </c>
      <c r="AI431" s="379">
        <f t="shared" si="451"/>
        <v>0</v>
      </c>
      <c r="AJ431" s="379">
        <f t="shared" si="452"/>
        <v>0</v>
      </c>
      <c r="AK431" s="379">
        <f t="shared" si="453"/>
        <v>0</v>
      </c>
      <c r="AL431" s="379">
        <f t="shared" si="454"/>
        <v>0</v>
      </c>
      <c r="AM431" s="379">
        <f t="shared" si="455"/>
        <v>0</v>
      </c>
      <c r="AN431" s="490">
        <f t="shared" si="456"/>
        <v>0</v>
      </c>
      <c r="AO431" s="379">
        <f t="shared" si="457"/>
        <v>0</v>
      </c>
      <c r="AP431" s="379">
        <f t="shared" si="458"/>
        <v>0</v>
      </c>
      <c r="AQ431" s="379">
        <f t="shared" si="459"/>
        <v>0</v>
      </c>
      <c r="AR431" s="379">
        <f t="shared" si="460"/>
        <v>0</v>
      </c>
      <c r="AS431" s="379">
        <f t="shared" si="461"/>
        <v>0</v>
      </c>
      <c r="AT431" s="379">
        <f t="shared" si="462"/>
        <v>0</v>
      </c>
      <c r="AU431" s="379">
        <f t="shared" si="463"/>
        <v>0</v>
      </c>
      <c r="AV431" s="379">
        <f t="shared" si="464"/>
        <v>0</v>
      </c>
      <c r="AW431" s="379">
        <f t="shared" si="465"/>
        <v>0</v>
      </c>
      <c r="AX431" s="379">
        <f t="shared" si="466"/>
        <v>0</v>
      </c>
      <c r="AY431" s="379">
        <f t="shared" si="467"/>
        <v>0</v>
      </c>
    </row>
    <row r="432" spans="1:51" x14ac:dyDescent="0.2">
      <c r="A432" s="376">
        <v>17200</v>
      </c>
      <c r="B432" s="378" t="str">
        <f t="shared" si="420"/>
        <v>Sydney (C)</v>
      </c>
      <c r="C432" s="377" t="str">
        <f t="shared" si="421"/>
        <v>SSROC</v>
      </c>
      <c r="D432" s="503" t="str">
        <f t="shared" si="422"/>
        <v>S</v>
      </c>
      <c r="E432" s="503"/>
      <c r="F432"/>
      <c r="G432" s="379">
        <f t="shared" si="423"/>
        <v>210931</v>
      </c>
      <c r="H432" s="379">
        <f t="shared" si="424"/>
        <v>118454</v>
      </c>
      <c r="I432" s="379">
        <f t="shared" si="425"/>
        <v>411</v>
      </c>
      <c r="J432" s="379" t="str">
        <f t="shared" si="426"/>
        <v>Y</v>
      </c>
      <c r="K432" s="379">
        <f t="shared" si="427"/>
        <v>106471</v>
      </c>
      <c r="L432" s="379" t="str">
        <f t="shared" si="428"/>
        <v>Y</v>
      </c>
      <c r="M432" s="379">
        <f t="shared" si="429"/>
        <v>106471</v>
      </c>
      <c r="N432" s="379">
        <f t="shared" si="430"/>
        <v>9083</v>
      </c>
      <c r="O432" s="379">
        <f t="shared" si="431"/>
        <v>0</v>
      </c>
      <c r="P432" s="379" t="str">
        <f t="shared" si="432"/>
        <v>Y</v>
      </c>
      <c r="Q432" s="379">
        <f t="shared" si="433"/>
        <v>0</v>
      </c>
      <c r="R432" s="379">
        <f t="shared" si="434"/>
        <v>0</v>
      </c>
      <c r="S432" s="379">
        <f t="shared" si="435"/>
        <v>0</v>
      </c>
      <c r="T432" s="379">
        <f t="shared" si="436"/>
        <v>0</v>
      </c>
      <c r="U432" s="379">
        <f t="shared" si="437"/>
        <v>0</v>
      </c>
      <c r="V432" s="379">
        <f t="shared" si="438"/>
        <v>0</v>
      </c>
      <c r="W432" s="379">
        <f t="shared" si="439"/>
        <v>0</v>
      </c>
      <c r="X432" s="379">
        <f t="shared" si="440"/>
        <v>0</v>
      </c>
      <c r="Y432" s="379">
        <f t="shared" si="441"/>
        <v>0</v>
      </c>
      <c r="Z432" s="379">
        <f t="shared" si="442"/>
        <v>0</v>
      </c>
      <c r="AA432" s="379">
        <f t="shared" si="443"/>
        <v>0</v>
      </c>
      <c r="AB432" s="379">
        <f t="shared" si="444"/>
        <v>0</v>
      </c>
      <c r="AC432" s="379">
        <f t="shared" si="445"/>
        <v>0</v>
      </c>
      <c r="AD432" s="379">
        <f t="shared" si="446"/>
        <v>0</v>
      </c>
      <c r="AE432" s="379">
        <f t="shared" si="447"/>
        <v>0</v>
      </c>
      <c r="AF432" s="379">
        <f t="shared" si="448"/>
        <v>0</v>
      </c>
      <c r="AG432" s="379">
        <f t="shared" si="449"/>
        <v>0</v>
      </c>
      <c r="AH432" s="379">
        <f t="shared" si="450"/>
        <v>0</v>
      </c>
      <c r="AI432" s="379">
        <f t="shared" si="451"/>
        <v>0</v>
      </c>
      <c r="AJ432" s="379">
        <f t="shared" si="452"/>
        <v>0</v>
      </c>
      <c r="AK432" s="379">
        <f t="shared" si="453"/>
        <v>0</v>
      </c>
      <c r="AL432" s="379">
        <f t="shared" si="454"/>
        <v>0</v>
      </c>
      <c r="AM432" s="379">
        <f t="shared" si="455"/>
        <v>0</v>
      </c>
      <c r="AN432" s="490">
        <f t="shared" si="456"/>
        <v>0</v>
      </c>
      <c r="AO432" s="379">
        <f t="shared" si="457"/>
        <v>0</v>
      </c>
      <c r="AP432" s="379">
        <f t="shared" si="458"/>
        <v>0</v>
      </c>
      <c r="AQ432" s="379">
        <f t="shared" si="459"/>
        <v>0</v>
      </c>
      <c r="AR432" s="379">
        <f t="shared" si="460"/>
        <v>0</v>
      </c>
      <c r="AS432" s="379">
        <f t="shared" si="461"/>
        <v>0</v>
      </c>
      <c r="AT432" s="379">
        <f t="shared" si="462"/>
        <v>0</v>
      </c>
      <c r="AU432" s="379">
        <f t="shared" si="463"/>
        <v>0</v>
      </c>
      <c r="AV432" s="379">
        <f t="shared" si="464"/>
        <v>0</v>
      </c>
      <c r="AW432" s="379">
        <f t="shared" si="465"/>
        <v>0</v>
      </c>
      <c r="AX432" s="379">
        <f t="shared" si="466"/>
        <v>0</v>
      </c>
      <c r="AY432" s="379">
        <f t="shared" si="467"/>
        <v>0</v>
      </c>
    </row>
    <row r="433" spans="1:51" x14ac:dyDescent="0.2">
      <c r="A433" s="376">
        <v>17420</v>
      </c>
      <c r="B433" s="378" t="str">
        <f t="shared" si="420"/>
        <v>The Hills Shire (A)</v>
      </c>
      <c r="C433" s="377" t="str">
        <f t="shared" si="421"/>
        <v>WSROC</v>
      </c>
      <c r="D433" s="503" t="str">
        <f t="shared" si="422"/>
        <v>S</v>
      </c>
      <c r="E433" s="503"/>
      <c r="F433"/>
      <c r="G433" s="379">
        <f t="shared" si="423"/>
        <v>164802</v>
      </c>
      <c r="H433" s="379">
        <f t="shared" si="424"/>
        <v>52761</v>
      </c>
      <c r="I433" s="379">
        <f t="shared" si="425"/>
        <v>405</v>
      </c>
      <c r="J433" s="379" t="str">
        <f t="shared" si="426"/>
        <v>Y</v>
      </c>
      <c r="K433" s="379">
        <f t="shared" si="427"/>
        <v>48233</v>
      </c>
      <c r="L433" s="379">
        <f t="shared" si="428"/>
        <v>0</v>
      </c>
      <c r="M433" s="379">
        <f t="shared" si="429"/>
        <v>53378</v>
      </c>
      <c r="N433" s="379">
        <f t="shared" si="430"/>
        <v>42526</v>
      </c>
      <c r="O433" s="379">
        <f t="shared" si="431"/>
        <v>0</v>
      </c>
      <c r="P433" s="379" t="str">
        <f t="shared" si="432"/>
        <v>Y</v>
      </c>
      <c r="Q433" s="379" t="str">
        <f t="shared" si="433"/>
        <v>Y</v>
      </c>
      <c r="R433" s="379" t="str">
        <f t="shared" si="434"/>
        <v>SUEZ Seven Hills</v>
      </c>
      <c r="S433" s="379">
        <f t="shared" si="435"/>
        <v>0</v>
      </c>
      <c r="T433" s="379">
        <f t="shared" si="436"/>
        <v>0</v>
      </c>
      <c r="U433" s="379">
        <f t="shared" si="437"/>
        <v>0</v>
      </c>
      <c r="V433" s="379">
        <f t="shared" si="438"/>
        <v>0</v>
      </c>
      <c r="W433" s="379">
        <f t="shared" si="439"/>
        <v>0</v>
      </c>
      <c r="X433" s="379">
        <f t="shared" si="440"/>
        <v>0</v>
      </c>
      <c r="Y433" s="379">
        <f t="shared" si="441"/>
        <v>0</v>
      </c>
      <c r="Z433" s="379">
        <f t="shared" si="442"/>
        <v>0</v>
      </c>
      <c r="AA433" s="379">
        <f t="shared" si="443"/>
        <v>0</v>
      </c>
      <c r="AB433" s="379">
        <f t="shared" si="444"/>
        <v>0</v>
      </c>
      <c r="AC433" s="379">
        <f t="shared" si="445"/>
        <v>0</v>
      </c>
      <c r="AD433" s="379">
        <f t="shared" si="446"/>
        <v>0</v>
      </c>
      <c r="AE433" s="379">
        <f t="shared" si="447"/>
        <v>0</v>
      </c>
      <c r="AF433" s="379">
        <f t="shared" si="448"/>
        <v>0</v>
      </c>
      <c r="AG433" s="379">
        <f t="shared" si="449"/>
        <v>0</v>
      </c>
      <c r="AH433" s="379">
        <f t="shared" si="450"/>
        <v>0</v>
      </c>
      <c r="AI433" s="379">
        <f t="shared" si="451"/>
        <v>0</v>
      </c>
      <c r="AJ433" s="379">
        <f t="shared" si="452"/>
        <v>0</v>
      </c>
      <c r="AK433" s="379">
        <f t="shared" si="453"/>
        <v>0</v>
      </c>
      <c r="AL433" s="379">
        <f t="shared" si="454"/>
        <v>0</v>
      </c>
      <c r="AM433" s="379">
        <f t="shared" si="455"/>
        <v>0</v>
      </c>
      <c r="AN433" s="490">
        <f t="shared" si="456"/>
        <v>0</v>
      </c>
      <c r="AO433" s="379">
        <f t="shared" si="457"/>
        <v>0</v>
      </c>
      <c r="AP433" s="379">
        <f t="shared" si="458"/>
        <v>0</v>
      </c>
      <c r="AQ433" s="379">
        <f t="shared" si="459"/>
        <v>0</v>
      </c>
      <c r="AR433" s="379">
        <f t="shared" si="460"/>
        <v>0</v>
      </c>
      <c r="AS433" s="379">
        <f t="shared" si="461"/>
        <v>0</v>
      </c>
      <c r="AT433" s="379">
        <f t="shared" si="462"/>
        <v>0</v>
      </c>
      <c r="AU433" s="379">
        <f t="shared" si="463"/>
        <v>0</v>
      </c>
      <c r="AV433" s="379">
        <f t="shared" si="464"/>
        <v>0</v>
      </c>
      <c r="AW433" s="379">
        <f t="shared" si="465"/>
        <v>0</v>
      </c>
      <c r="AX433" s="379">
        <f t="shared" si="466"/>
        <v>0</v>
      </c>
      <c r="AY433" s="379">
        <f t="shared" si="467"/>
        <v>0</v>
      </c>
    </row>
    <row r="434" spans="1:51" x14ac:dyDescent="0.2">
      <c r="A434" s="376">
        <v>18050</v>
      </c>
      <c r="B434" s="378" t="str">
        <f t="shared" si="420"/>
        <v>Waverley (A)</v>
      </c>
      <c r="C434" s="377" t="str">
        <f t="shared" si="421"/>
        <v>SSROC</v>
      </c>
      <c r="D434" s="503" t="str">
        <f t="shared" si="422"/>
        <v>S</v>
      </c>
      <c r="E434" s="503"/>
      <c r="F434"/>
      <c r="G434" s="379">
        <f t="shared" si="423"/>
        <v>73366</v>
      </c>
      <c r="H434" s="379">
        <f t="shared" si="424"/>
        <v>29155</v>
      </c>
      <c r="I434" s="379">
        <f t="shared" si="425"/>
        <v>500</v>
      </c>
      <c r="J434" s="379" t="str">
        <f t="shared" si="426"/>
        <v>Y</v>
      </c>
      <c r="K434" s="379">
        <f t="shared" si="427"/>
        <v>29155</v>
      </c>
      <c r="L434" s="379">
        <f t="shared" si="428"/>
        <v>0</v>
      </c>
      <c r="M434" s="379">
        <f t="shared" si="429"/>
        <v>29155</v>
      </c>
      <c r="N434" s="379">
        <f t="shared" si="430"/>
        <v>12220</v>
      </c>
      <c r="O434" s="379">
        <f t="shared" si="431"/>
        <v>0</v>
      </c>
      <c r="P434" s="379" t="str">
        <f t="shared" si="432"/>
        <v>Y</v>
      </c>
      <c r="Q434" s="379">
        <f t="shared" si="433"/>
        <v>0</v>
      </c>
      <c r="R434" s="379">
        <f t="shared" si="434"/>
        <v>0</v>
      </c>
      <c r="S434" s="379">
        <f t="shared" si="435"/>
        <v>0</v>
      </c>
      <c r="T434" s="379">
        <f t="shared" si="436"/>
        <v>0</v>
      </c>
      <c r="U434" s="379">
        <f t="shared" si="437"/>
        <v>0</v>
      </c>
      <c r="V434" s="379">
        <f t="shared" si="438"/>
        <v>0</v>
      </c>
      <c r="W434" s="379">
        <f t="shared" si="439"/>
        <v>0</v>
      </c>
      <c r="X434" s="379">
        <f t="shared" si="440"/>
        <v>0</v>
      </c>
      <c r="Y434" s="379">
        <f t="shared" si="441"/>
        <v>0</v>
      </c>
      <c r="Z434" s="379">
        <f t="shared" si="442"/>
        <v>0</v>
      </c>
      <c r="AA434" s="379">
        <f t="shared" si="443"/>
        <v>0</v>
      </c>
      <c r="AB434" s="379">
        <f t="shared" si="444"/>
        <v>0</v>
      </c>
      <c r="AC434" s="379">
        <f t="shared" si="445"/>
        <v>0</v>
      </c>
      <c r="AD434" s="379">
        <f t="shared" si="446"/>
        <v>0</v>
      </c>
      <c r="AE434" s="379">
        <f t="shared" si="447"/>
        <v>0</v>
      </c>
      <c r="AF434" s="379">
        <f t="shared" si="448"/>
        <v>0</v>
      </c>
      <c r="AG434" s="379">
        <f t="shared" si="449"/>
        <v>0</v>
      </c>
      <c r="AH434" s="379">
        <f t="shared" si="450"/>
        <v>0</v>
      </c>
      <c r="AI434" s="379">
        <f t="shared" si="451"/>
        <v>0</v>
      </c>
      <c r="AJ434" s="379">
        <f t="shared" si="452"/>
        <v>0</v>
      </c>
      <c r="AK434" s="379">
        <f t="shared" si="453"/>
        <v>0</v>
      </c>
      <c r="AL434" s="379">
        <f t="shared" si="454"/>
        <v>0</v>
      </c>
      <c r="AM434" s="379">
        <f t="shared" si="455"/>
        <v>0</v>
      </c>
      <c r="AN434" s="490">
        <f t="shared" si="456"/>
        <v>0</v>
      </c>
      <c r="AO434" s="379">
        <f t="shared" si="457"/>
        <v>0</v>
      </c>
      <c r="AP434" s="379">
        <f t="shared" si="458"/>
        <v>0</v>
      </c>
      <c r="AQ434" s="379">
        <f t="shared" si="459"/>
        <v>0</v>
      </c>
      <c r="AR434" s="379">
        <f t="shared" si="460"/>
        <v>0</v>
      </c>
      <c r="AS434" s="379">
        <f t="shared" si="461"/>
        <v>0</v>
      </c>
      <c r="AT434" s="379">
        <f t="shared" si="462"/>
        <v>0</v>
      </c>
      <c r="AU434" s="379">
        <f t="shared" si="463"/>
        <v>0</v>
      </c>
      <c r="AV434" s="379">
        <f t="shared" si="464"/>
        <v>0</v>
      </c>
      <c r="AW434" s="379">
        <f t="shared" si="465"/>
        <v>0</v>
      </c>
      <c r="AX434" s="379">
        <f t="shared" si="466"/>
        <v>0</v>
      </c>
      <c r="AY434" s="379">
        <f t="shared" si="467"/>
        <v>0</v>
      </c>
    </row>
    <row r="435" spans="1:51" x14ac:dyDescent="0.2">
      <c r="A435" s="376">
        <v>18250</v>
      </c>
      <c r="B435" s="378" t="str">
        <f t="shared" si="420"/>
        <v>Willoughby (C)</v>
      </c>
      <c r="C435" s="377" t="str">
        <f t="shared" si="421"/>
        <v>NSROC</v>
      </c>
      <c r="D435" s="503" t="str">
        <f t="shared" si="422"/>
        <v>S</v>
      </c>
      <c r="E435" s="503"/>
      <c r="F435"/>
      <c r="G435" s="379">
        <f t="shared" si="423"/>
        <v>77833</v>
      </c>
      <c r="H435" s="379">
        <f t="shared" si="424"/>
        <v>28654</v>
      </c>
      <c r="I435" s="379">
        <f t="shared" si="425"/>
        <v>515</v>
      </c>
      <c r="J435" s="379" t="str">
        <f t="shared" si="426"/>
        <v>Y</v>
      </c>
      <c r="K435" s="379">
        <f t="shared" si="427"/>
        <v>32346</v>
      </c>
      <c r="L435" s="379">
        <f t="shared" si="428"/>
        <v>0</v>
      </c>
      <c r="M435" s="379">
        <f t="shared" si="429"/>
        <v>29845</v>
      </c>
      <c r="N435" s="379">
        <f t="shared" si="430"/>
        <v>16171</v>
      </c>
      <c r="O435" s="379">
        <f t="shared" si="431"/>
        <v>0</v>
      </c>
      <c r="P435" s="379" t="str">
        <f t="shared" si="432"/>
        <v>Y</v>
      </c>
      <c r="Q435" s="379">
        <f t="shared" si="433"/>
        <v>0</v>
      </c>
      <c r="R435" s="379">
        <f t="shared" si="434"/>
        <v>0</v>
      </c>
      <c r="S435" s="379">
        <f t="shared" si="435"/>
        <v>0</v>
      </c>
      <c r="T435" s="379">
        <f t="shared" si="436"/>
        <v>0</v>
      </c>
      <c r="U435" s="379">
        <f t="shared" si="437"/>
        <v>0</v>
      </c>
      <c r="V435" s="379">
        <f t="shared" si="438"/>
        <v>0</v>
      </c>
      <c r="W435" s="379">
        <f t="shared" si="439"/>
        <v>0</v>
      </c>
      <c r="X435" s="379">
        <f t="shared" si="440"/>
        <v>0</v>
      </c>
      <c r="Y435" s="379">
        <f t="shared" si="441"/>
        <v>0</v>
      </c>
      <c r="Z435" s="379">
        <f t="shared" si="442"/>
        <v>0</v>
      </c>
      <c r="AA435" s="379">
        <f t="shared" si="443"/>
        <v>0</v>
      </c>
      <c r="AB435" s="379">
        <f t="shared" si="444"/>
        <v>0</v>
      </c>
      <c r="AC435" s="379">
        <f t="shared" si="445"/>
        <v>0</v>
      </c>
      <c r="AD435" s="379">
        <f t="shared" si="446"/>
        <v>0</v>
      </c>
      <c r="AE435" s="379">
        <f t="shared" si="447"/>
        <v>0</v>
      </c>
      <c r="AF435" s="379">
        <f t="shared" si="448"/>
        <v>0</v>
      </c>
      <c r="AG435" s="379">
        <f t="shared" si="449"/>
        <v>0</v>
      </c>
      <c r="AH435" s="379">
        <f t="shared" si="450"/>
        <v>0</v>
      </c>
      <c r="AI435" s="379">
        <f t="shared" si="451"/>
        <v>0</v>
      </c>
      <c r="AJ435" s="379">
        <f t="shared" si="452"/>
        <v>0</v>
      </c>
      <c r="AK435" s="379">
        <f t="shared" si="453"/>
        <v>0</v>
      </c>
      <c r="AL435" s="379">
        <f t="shared" si="454"/>
        <v>0</v>
      </c>
      <c r="AM435" s="379">
        <f t="shared" si="455"/>
        <v>0</v>
      </c>
      <c r="AN435" s="490">
        <f t="shared" si="456"/>
        <v>0</v>
      </c>
      <c r="AO435" s="379">
        <f t="shared" si="457"/>
        <v>0</v>
      </c>
      <c r="AP435" s="379">
        <f t="shared" si="458"/>
        <v>0</v>
      </c>
      <c r="AQ435" s="379">
        <f t="shared" si="459"/>
        <v>0</v>
      </c>
      <c r="AR435" s="379">
        <f t="shared" si="460"/>
        <v>0</v>
      </c>
      <c r="AS435" s="379">
        <f t="shared" si="461"/>
        <v>0</v>
      </c>
      <c r="AT435" s="379">
        <f t="shared" si="462"/>
        <v>0</v>
      </c>
      <c r="AU435" s="379">
        <f t="shared" si="463"/>
        <v>0</v>
      </c>
      <c r="AV435" s="379">
        <f t="shared" si="464"/>
        <v>0</v>
      </c>
      <c r="AW435" s="379">
        <f t="shared" si="465"/>
        <v>0</v>
      </c>
      <c r="AX435" s="379">
        <f t="shared" si="466"/>
        <v>0</v>
      </c>
      <c r="AY435" s="379">
        <f t="shared" si="467"/>
        <v>0</v>
      </c>
    </row>
    <row r="436" spans="1:51" x14ac:dyDescent="0.2">
      <c r="A436" s="376">
        <v>18500</v>
      </c>
      <c r="B436" s="378" t="str">
        <f t="shared" si="420"/>
        <v>Woollahra (A)</v>
      </c>
      <c r="C436" s="377" t="str">
        <f t="shared" si="421"/>
        <v>SSROC</v>
      </c>
      <c r="D436" s="503" t="str">
        <f t="shared" si="422"/>
        <v>S</v>
      </c>
      <c r="E436" s="503"/>
      <c r="F436"/>
      <c r="G436" s="379">
        <f t="shared" si="423"/>
        <v>59860</v>
      </c>
      <c r="H436" s="379">
        <f t="shared" si="424"/>
        <v>24755</v>
      </c>
      <c r="I436" s="379">
        <f t="shared" si="425"/>
        <v>508.5</v>
      </c>
      <c r="J436" s="379" t="str">
        <f t="shared" si="426"/>
        <v>Y</v>
      </c>
      <c r="K436" s="379">
        <f t="shared" si="427"/>
        <v>24755</v>
      </c>
      <c r="L436" s="379">
        <f t="shared" si="428"/>
        <v>0</v>
      </c>
      <c r="M436" s="379">
        <f t="shared" si="429"/>
        <v>24755</v>
      </c>
      <c r="N436" s="379">
        <f t="shared" si="430"/>
        <v>0</v>
      </c>
      <c r="O436" s="379">
        <f t="shared" si="431"/>
        <v>24755</v>
      </c>
      <c r="P436" s="379" t="str">
        <f t="shared" si="432"/>
        <v>Y</v>
      </c>
      <c r="Q436" s="379">
        <f t="shared" si="433"/>
        <v>0</v>
      </c>
      <c r="R436" s="379">
        <f t="shared" si="434"/>
        <v>0</v>
      </c>
      <c r="S436" s="379">
        <f t="shared" si="435"/>
        <v>0</v>
      </c>
      <c r="T436" s="379">
        <f t="shared" si="436"/>
        <v>0</v>
      </c>
      <c r="U436" s="379">
        <f t="shared" si="437"/>
        <v>0</v>
      </c>
      <c r="V436" s="379">
        <f t="shared" si="438"/>
        <v>0</v>
      </c>
      <c r="W436" s="379">
        <f t="shared" si="439"/>
        <v>0</v>
      </c>
      <c r="X436" s="379">
        <f t="shared" si="440"/>
        <v>0</v>
      </c>
      <c r="Y436" s="379">
        <f t="shared" si="441"/>
        <v>0</v>
      </c>
      <c r="Z436" s="379">
        <f t="shared" si="442"/>
        <v>0</v>
      </c>
      <c r="AA436" s="379">
        <f t="shared" si="443"/>
        <v>0</v>
      </c>
      <c r="AB436" s="379">
        <f t="shared" si="444"/>
        <v>0</v>
      </c>
      <c r="AC436" s="379">
        <f t="shared" si="445"/>
        <v>0</v>
      </c>
      <c r="AD436" s="379">
        <f t="shared" si="446"/>
        <v>0</v>
      </c>
      <c r="AE436" s="379">
        <f t="shared" si="447"/>
        <v>0</v>
      </c>
      <c r="AF436" s="379">
        <f t="shared" si="448"/>
        <v>0</v>
      </c>
      <c r="AG436" s="379">
        <f t="shared" si="449"/>
        <v>0</v>
      </c>
      <c r="AH436" s="379">
        <f t="shared" si="450"/>
        <v>0</v>
      </c>
      <c r="AI436" s="379">
        <f t="shared" si="451"/>
        <v>0</v>
      </c>
      <c r="AJ436" s="379">
        <f t="shared" si="452"/>
        <v>0</v>
      </c>
      <c r="AK436" s="379">
        <f t="shared" si="453"/>
        <v>0</v>
      </c>
      <c r="AL436" s="379">
        <f t="shared" si="454"/>
        <v>0</v>
      </c>
      <c r="AM436" s="379">
        <f t="shared" si="455"/>
        <v>0</v>
      </c>
      <c r="AN436" s="490">
        <f t="shared" si="456"/>
        <v>0</v>
      </c>
      <c r="AO436" s="379">
        <f t="shared" si="457"/>
        <v>0</v>
      </c>
      <c r="AP436" s="379">
        <f t="shared" si="458"/>
        <v>0</v>
      </c>
      <c r="AQ436" s="379">
        <f t="shared" si="459"/>
        <v>0</v>
      </c>
      <c r="AR436" s="379">
        <f t="shared" si="460"/>
        <v>0</v>
      </c>
      <c r="AS436" s="379">
        <f t="shared" si="461"/>
        <v>0</v>
      </c>
      <c r="AT436" s="379">
        <f t="shared" si="462"/>
        <v>0</v>
      </c>
      <c r="AU436" s="379">
        <f t="shared" si="463"/>
        <v>0</v>
      </c>
      <c r="AV436" s="379">
        <f t="shared" si="464"/>
        <v>0</v>
      </c>
      <c r="AW436" s="379">
        <f t="shared" si="465"/>
        <v>0</v>
      </c>
      <c r="AX436" s="379">
        <f t="shared" si="466"/>
        <v>0</v>
      </c>
      <c r="AY436" s="379">
        <f t="shared" si="467"/>
        <v>0</v>
      </c>
    </row>
    <row r="437" spans="1:51" x14ac:dyDescent="0.2">
      <c r="A437" s="376">
        <v>11650</v>
      </c>
      <c r="B437" s="378" t="str">
        <f t="shared" si="420"/>
        <v>Central Coast (C) (NSW)</v>
      </c>
      <c r="C437" s="377" t="str">
        <f t="shared" si="421"/>
        <v>Hunter</v>
      </c>
      <c r="D437" s="503" t="str">
        <f t="shared" si="422"/>
        <v>E</v>
      </c>
      <c r="E437" s="503"/>
      <c r="F437"/>
      <c r="G437" s="379">
        <f t="shared" si="423"/>
        <v>334857</v>
      </c>
      <c r="H437" s="379">
        <f t="shared" si="424"/>
        <v>130469</v>
      </c>
      <c r="I437" s="379">
        <f t="shared" si="425"/>
        <v>447</v>
      </c>
      <c r="J437" s="379" t="str">
        <f t="shared" si="426"/>
        <v>Y</v>
      </c>
      <c r="K437" s="379">
        <f t="shared" si="427"/>
        <v>131869</v>
      </c>
      <c r="L437" s="379">
        <f t="shared" si="428"/>
        <v>0</v>
      </c>
      <c r="M437" s="379">
        <f t="shared" si="429"/>
        <v>132191</v>
      </c>
      <c r="N437" s="379">
        <f t="shared" si="430"/>
        <v>123590</v>
      </c>
      <c r="O437" s="379">
        <f t="shared" si="431"/>
        <v>0</v>
      </c>
      <c r="P437" s="379" t="str">
        <f t="shared" si="432"/>
        <v>Y</v>
      </c>
      <c r="Q437" s="379" t="str">
        <f t="shared" si="433"/>
        <v>Y</v>
      </c>
      <c r="R437" s="379" t="str">
        <f t="shared" si="434"/>
        <v>Buttonderrry</v>
      </c>
      <c r="S437" s="379" t="str">
        <f t="shared" si="435"/>
        <v>Kincumber</v>
      </c>
      <c r="T437" s="379" t="str">
        <f t="shared" si="436"/>
        <v>Woy Woy</v>
      </c>
      <c r="U437" s="379">
        <f t="shared" si="437"/>
        <v>0</v>
      </c>
      <c r="V437" s="379">
        <f t="shared" si="438"/>
        <v>0</v>
      </c>
      <c r="W437" s="379">
        <f t="shared" si="439"/>
        <v>0</v>
      </c>
      <c r="X437" s="379">
        <f t="shared" si="440"/>
        <v>0</v>
      </c>
      <c r="Y437" s="379">
        <f t="shared" si="441"/>
        <v>0</v>
      </c>
      <c r="Z437" s="379">
        <f t="shared" si="442"/>
        <v>0</v>
      </c>
      <c r="AA437" s="379">
        <f t="shared" si="443"/>
        <v>0</v>
      </c>
      <c r="AB437" s="379">
        <f t="shared" si="444"/>
        <v>0</v>
      </c>
      <c r="AC437" s="379">
        <f t="shared" si="445"/>
        <v>0</v>
      </c>
      <c r="AD437" s="379">
        <f t="shared" si="446"/>
        <v>0</v>
      </c>
      <c r="AE437" s="379">
        <f t="shared" si="447"/>
        <v>0</v>
      </c>
      <c r="AF437" s="379">
        <f t="shared" si="448"/>
        <v>0</v>
      </c>
      <c r="AG437" s="379">
        <f t="shared" si="449"/>
        <v>0</v>
      </c>
      <c r="AH437" s="379">
        <f t="shared" si="450"/>
        <v>0</v>
      </c>
      <c r="AI437" s="379">
        <f t="shared" si="451"/>
        <v>0</v>
      </c>
      <c r="AJ437" s="379">
        <f t="shared" si="452"/>
        <v>0</v>
      </c>
      <c r="AK437" s="379">
        <f t="shared" si="453"/>
        <v>0</v>
      </c>
      <c r="AL437" s="379">
        <f t="shared" si="454"/>
        <v>0</v>
      </c>
      <c r="AM437" s="379">
        <f t="shared" si="455"/>
        <v>0</v>
      </c>
      <c r="AN437" s="490">
        <f t="shared" si="456"/>
        <v>0</v>
      </c>
      <c r="AO437" s="379">
        <f t="shared" si="457"/>
        <v>0</v>
      </c>
      <c r="AP437" s="379">
        <f t="shared" si="458"/>
        <v>0</v>
      </c>
      <c r="AQ437" s="379">
        <f t="shared" si="459"/>
        <v>0</v>
      </c>
      <c r="AR437" s="379">
        <f t="shared" si="460"/>
        <v>0</v>
      </c>
      <c r="AS437" s="379">
        <f t="shared" si="461"/>
        <v>0</v>
      </c>
      <c r="AT437" s="379">
        <f t="shared" si="462"/>
        <v>0</v>
      </c>
      <c r="AU437" s="379">
        <f t="shared" si="463"/>
        <v>0</v>
      </c>
      <c r="AV437" s="379">
        <f t="shared" si="464"/>
        <v>0</v>
      </c>
      <c r="AW437" s="379">
        <f t="shared" si="465"/>
        <v>0</v>
      </c>
      <c r="AX437" s="379">
        <f t="shared" si="466"/>
        <v>0</v>
      </c>
      <c r="AY437" s="379">
        <f t="shared" si="467"/>
        <v>0</v>
      </c>
    </row>
    <row r="438" spans="1:51" x14ac:dyDescent="0.2">
      <c r="A438" s="376">
        <v>11720</v>
      </c>
      <c r="B438" s="378" t="str">
        <f t="shared" si="420"/>
        <v>Cessnock (C)</v>
      </c>
      <c r="C438" s="377" t="str">
        <f t="shared" si="421"/>
        <v>Hunter</v>
      </c>
      <c r="D438" s="503" t="str">
        <f t="shared" si="422"/>
        <v>E</v>
      </c>
      <c r="E438" s="503"/>
      <c r="F438"/>
      <c r="G438" s="379">
        <f t="shared" si="423"/>
        <v>56532</v>
      </c>
      <c r="H438" s="379">
        <f t="shared" si="424"/>
        <v>24194</v>
      </c>
      <c r="I438" s="379">
        <f t="shared" si="425"/>
        <v>540</v>
      </c>
      <c r="J438" s="379" t="str">
        <f t="shared" si="426"/>
        <v>Y</v>
      </c>
      <c r="K438" s="379">
        <f t="shared" si="427"/>
        <v>21230</v>
      </c>
      <c r="L438" s="379">
        <f t="shared" si="428"/>
        <v>0</v>
      </c>
      <c r="M438" s="379">
        <f t="shared" si="429"/>
        <v>21230</v>
      </c>
      <c r="N438" s="379">
        <f t="shared" si="430"/>
        <v>21230</v>
      </c>
      <c r="O438" s="379">
        <f t="shared" si="431"/>
        <v>0</v>
      </c>
      <c r="P438" s="379">
        <f t="shared" si="432"/>
        <v>0</v>
      </c>
      <c r="Q438" s="379" t="str">
        <f t="shared" si="433"/>
        <v>Y</v>
      </c>
      <c r="R438" s="379" t="str">
        <f t="shared" si="434"/>
        <v>Cessnock Waste Management Centre</v>
      </c>
      <c r="S438" s="379">
        <f t="shared" si="435"/>
        <v>0</v>
      </c>
      <c r="T438" s="379">
        <f t="shared" si="436"/>
        <v>0</v>
      </c>
      <c r="U438" s="379">
        <f t="shared" si="437"/>
        <v>0</v>
      </c>
      <c r="V438" s="379">
        <f t="shared" si="438"/>
        <v>0</v>
      </c>
      <c r="W438" s="379">
        <f t="shared" si="439"/>
        <v>0</v>
      </c>
      <c r="X438" s="379">
        <f t="shared" si="440"/>
        <v>0</v>
      </c>
      <c r="Y438" s="379">
        <f t="shared" si="441"/>
        <v>0</v>
      </c>
      <c r="Z438" s="379">
        <f t="shared" si="442"/>
        <v>0</v>
      </c>
      <c r="AA438" s="379">
        <f t="shared" si="443"/>
        <v>0</v>
      </c>
      <c r="AB438" s="379">
        <f t="shared" si="444"/>
        <v>0</v>
      </c>
      <c r="AC438" s="379">
        <f t="shared" si="445"/>
        <v>0</v>
      </c>
      <c r="AD438" s="379">
        <f t="shared" si="446"/>
        <v>0</v>
      </c>
      <c r="AE438" s="379">
        <f t="shared" si="447"/>
        <v>0</v>
      </c>
      <c r="AF438" s="379">
        <f t="shared" si="448"/>
        <v>0</v>
      </c>
      <c r="AG438" s="379">
        <f t="shared" si="449"/>
        <v>0</v>
      </c>
      <c r="AH438" s="379">
        <f t="shared" si="450"/>
        <v>0</v>
      </c>
      <c r="AI438" s="379">
        <f t="shared" si="451"/>
        <v>0</v>
      </c>
      <c r="AJ438" s="379">
        <f t="shared" si="452"/>
        <v>0</v>
      </c>
      <c r="AK438" s="379">
        <f t="shared" si="453"/>
        <v>0</v>
      </c>
      <c r="AL438" s="379">
        <f t="shared" si="454"/>
        <v>0</v>
      </c>
      <c r="AM438" s="379">
        <f t="shared" si="455"/>
        <v>0</v>
      </c>
      <c r="AN438" s="490">
        <f t="shared" si="456"/>
        <v>0</v>
      </c>
      <c r="AO438" s="379">
        <f t="shared" si="457"/>
        <v>0</v>
      </c>
      <c r="AP438" s="379">
        <f t="shared" si="458"/>
        <v>0</v>
      </c>
      <c r="AQ438" s="379">
        <f t="shared" si="459"/>
        <v>0</v>
      </c>
      <c r="AR438" s="379">
        <f t="shared" si="460"/>
        <v>0</v>
      </c>
      <c r="AS438" s="379">
        <f t="shared" si="461"/>
        <v>0</v>
      </c>
      <c r="AT438" s="379">
        <f t="shared" si="462"/>
        <v>0</v>
      </c>
      <c r="AU438" s="379">
        <f t="shared" si="463"/>
        <v>0</v>
      </c>
      <c r="AV438" s="379">
        <f t="shared" si="464"/>
        <v>0</v>
      </c>
      <c r="AW438" s="379">
        <f t="shared" si="465"/>
        <v>0</v>
      </c>
      <c r="AX438" s="379">
        <f t="shared" si="466"/>
        <v>0</v>
      </c>
      <c r="AY438" s="379">
        <f t="shared" si="467"/>
        <v>0</v>
      </c>
    </row>
    <row r="439" spans="1:51" x14ac:dyDescent="0.2">
      <c r="A439" s="376">
        <v>13800</v>
      </c>
      <c r="B439" s="378" t="str">
        <f t="shared" si="420"/>
        <v>Hawkesbury (C)</v>
      </c>
      <c r="C439" s="377" t="str">
        <f t="shared" si="421"/>
        <v>WSROC</v>
      </c>
      <c r="D439" s="503" t="str">
        <f t="shared" si="422"/>
        <v>E</v>
      </c>
      <c r="E439" s="503"/>
      <c r="F439"/>
      <c r="G439" s="379">
        <f t="shared" si="423"/>
        <v>66782</v>
      </c>
      <c r="H439" s="379">
        <f t="shared" si="424"/>
        <v>24056</v>
      </c>
      <c r="I439" s="379">
        <f t="shared" si="425"/>
        <v>515.21</v>
      </c>
      <c r="J439" s="379" t="str">
        <f t="shared" si="426"/>
        <v>Y</v>
      </c>
      <c r="K439" s="379">
        <f t="shared" si="427"/>
        <v>22599</v>
      </c>
      <c r="L439" s="379">
        <f t="shared" si="428"/>
        <v>0</v>
      </c>
      <c r="M439" s="379">
        <f t="shared" si="429"/>
        <v>22599</v>
      </c>
      <c r="N439" s="379">
        <f t="shared" si="430"/>
        <v>13180</v>
      </c>
      <c r="O439" s="379">
        <f t="shared" si="431"/>
        <v>0</v>
      </c>
      <c r="P439" s="379" t="str">
        <f t="shared" si="432"/>
        <v>Y</v>
      </c>
      <c r="Q439" s="379" t="str">
        <f t="shared" si="433"/>
        <v>Y</v>
      </c>
      <c r="R439" s="379" t="str">
        <f t="shared" si="434"/>
        <v>Hawkesbury City Waste Management Facility</v>
      </c>
      <c r="S439" s="379">
        <f t="shared" si="435"/>
        <v>0</v>
      </c>
      <c r="T439" s="379">
        <f t="shared" si="436"/>
        <v>0</v>
      </c>
      <c r="U439" s="379">
        <f t="shared" si="437"/>
        <v>0</v>
      </c>
      <c r="V439" s="379">
        <f t="shared" si="438"/>
        <v>0</v>
      </c>
      <c r="W439" s="379">
        <f t="shared" si="439"/>
        <v>0</v>
      </c>
      <c r="X439" s="379">
        <f t="shared" si="440"/>
        <v>0</v>
      </c>
      <c r="Y439" s="379">
        <f t="shared" si="441"/>
        <v>0</v>
      </c>
      <c r="Z439" s="379">
        <f t="shared" si="442"/>
        <v>0</v>
      </c>
      <c r="AA439" s="379">
        <f t="shared" si="443"/>
        <v>0</v>
      </c>
      <c r="AB439" s="379">
        <f t="shared" si="444"/>
        <v>0</v>
      </c>
      <c r="AC439" s="379">
        <f t="shared" si="445"/>
        <v>0</v>
      </c>
      <c r="AD439" s="379">
        <f t="shared" si="446"/>
        <v>0</v>
      </c>
      <c r="AE439" s="379">
        <f t="shared" si="447"/>
        <v>0</v>
      </c>
      <c r="AF439" s="379">
        <f t="shared" si="448"/>
        <v>0</v>
      </c>
      <c r="AG439" s="379">
        <f t="shared" si="449"/>
        <v>0</v>
      </c>
      <c r="AH439" s="379">
        <f t="shared" si="450"/>
        <v>0</v>
      </c>
      <c r="AI439" s="379">
        <f t="shared" si="451"/>
        <v>0</v>
      </c>
      <c r="AJ439" s="379">
        <f t="shared" si="452"/>
        <v>0</v>
      </c>
      <c r="AK439" s="379">
        <f t="shared" si="453"/>
        <v>0</v>
      </c>
      <c r="AL439" s="379">
        <f t="shared" si="454"/>
        <v>0</v>
      </c>
      <c r="AM439" s="379">
        <f t="shared" si="455"/>
        <v>0</v>
      </c>
      <c r="AN439" s="490">
        <f t="shared" si="456"/>
        <v>0</v>
      </c>
      <c r="AO439" s="379">
        <f t="shared" si="457"/>
        <v>0</v>
      </c>
      <c r="AP439" s="379">
        <f t="shared" si="458"/>
        <v>0</v>
      </c>
      <c r="AQ439" s="379">
        <f t="shared" si="459"/>
        <v>0</v>
      </c>
      <c r="AR439" s="379">
        <f t="shared" si="460"/>
        <v>0</v>
      </c>
      <c r="AS439" s="379">
        <f t="shared" si="461"/>
        <v>0</v>
      </c>
      <c r="AT439" s="379">
        <f t="shared" si="462"/>
        <v>0</v>
      </c>
      <c r="AU439" s="379">
        <f t="shared" si="463"/>
        <v>0</v>
      </c>
      <c r="AV439" s="379">
        <f t="shared" si="464"/>
        <v>0</v>
      </c>
      <c r="AW439" s="379">
        <f t="shared" si="465"/>
        <v>0</v>
      </c>
      <c r="AX439" s="379">
        <f t="shared" si="466"/>
        <v>0</v>
      </c>
      <c r="AY439" s="379">
        <f t="shared" si="467"/>
        <v>0</v>
      </c>
    </row>
    <row r="440" spans="1:51" x14ac:dyDescent="0.2">
      <c r="A440" s="376">
        <v>14400</v>
      </c>
      <c r="B440" s="378" t="str">
        <f t="shared" si="420"/>
        <v>Kiama (A)</v>
      </c>
      <c r="C440" s="377" t="str">
        <f t="shared" si="421"/>
        <v>ISJO</v>
      </c>
      <c r="D440" s="503" t="str">
        <f t="shared" si="422"/>
        <v>E</v>
      </c>
      <c r="E440" s="503"/>
      <c r="F440"/>
      <c r="G440" s="379">
        <f t="shared" si="423"/>
        <v>21671</v>
      </c>
      <c r="H440" s="379">
        <f t="shared" si="424"/>
        <v>10000</v>
      </c>
      <c r="I440" s="379">
        <f t="shared" si="425"/>
        <v>528.6</v>
      </c>
      <c r="J440" s="379" t="str">
        <f t="shared" si="426"/>
        <v>Y</v>
      </c>
      <c r="K440" s="379">
        <f t="shared" si="427"/>
        <v>8874</v>
      </c>
      <c r="L440" s="379">
        <f t="shared" si="428"/>
        <v>0</v>
      </c>
      <c r="M440" s="379">
        <f t="shared" si="429"/>
        <v>9377</v>
      </c>
      <c r="N440" s="379">
        <f t="shared" si="430"/>
        <v>0</v>
      </c>
      <c r="O440" s="379">
        <f t="shared" si="431"/>
        <v>8874</v>
      </c>
      <c r="P440" s="379" t="str">
        <f t="shared" si="432"/>
        <v>Y</v>
      </c>
      <c r="Q440" s="379" t="str">
        <f t="shared" si="433"/>
        <v>Y</v>
      </c>
      <c r="R440" s="379" t="str">
        <f t="shared" si="434"/>
        <v>Minnamurra CRC</v>
      </c>
      <c r="S440" s="379" t="str">
        <f t="shared" si="435"/>
        <v>Minnamurra Waste Depot</v>
      </c>
      <c r="T440" s="379">
        <f t="shared" si="436"/>
        <v>0</v>
      </c>
      <c r="U440" s="379">
        <f t="shared" si="437"/>
        <v>0</v>
      </c>
      <c r="V440" s="379">
        <f t="shared" si="438"/>
        <v>0</v>
      </c>
      <c r="W440" s="379">
        <f t="shared" si="439"/>
        <v>0</v>
      </c>
      <c r="X440" s="379">
        <f t="shared" si="440"/>
        <v>0</v>
      </c>
      <c r="Y440" s="379">
        <f t="shared" si="441"/>
        <v>0</v>
      </c>
      <c r="Z440" s="379">
        <f t="shared" si="442"/>
        <v>0</v>
      </c>
      <c r="AA440" s="379">
        <f t="shared" si="443"/>
        <v>0</v>
      </c>
      <c r="AB440" s="379">
        <f t="shared" si="444"/>
        <v>0</v>
      </c>
      <c r="AC440" s="379">
        <f t="shared" si="445"/>
        <v>0</v>
      </c>
      <c r="AD440" s="379">
        <f t="shared" si="446"/>
        <v>0</v>
      </c>
      <c r="AE440" s="379">
        <f t="shared" si="447"/>
        <v>0</v>
      </c>
      <c r="AF440" s="379">
        <f t="shared" si="448"/>
        <v>0</v>
      </c>
      <c r="AG440" s="379">
        <f t="shared" si="449"/>
        <v>0</v>
      </c>
      <c r="AH440" s="379">
        <f t="shared" si="450"/>
        <v>0</v>
      </c>
      <c r="AI440" s="379">
        <f t="shared" si="451"/>
        <v>0</v>
      </c>
      <c r="AJ440" s="379">
        <f t="shared" si="452"/>
        <v>0</v>
      </c>
      <c r="AK440" s="379">
        <f t="shared" si="453"/>
        <v>0</v>
      </c>
      <c r="AL440" s="379">
        <f t="shared" si="454"/>
        <v>0</v>
      </c>
      <c r="AM440" s="379">
        <f t="shared" si="455"/>
        <v>0</v>
      </c>
      <c r="AN440" s="490">
        <f t="shared" si="456"/>
        <v>0</v>
      </c>
      <c r="AO440" s="379">
        <f t="shared" si="457"/>
        <v>0</v>
      </c>
      <c r="AP440" s="379">
        <f t="shared" si="458"/>
        <v>0</v>
      </c>
      <c r="AQ440" s="379">
        <f t="shared" si="459"/>
        <v>0</v>
      </c>
      <c r="AR440" s="379">
        <f t="shared" si="460"/>
        <v>0</v>
      </c>
      <c r="AS440" s="379">
        <f t="shared" si="461"/>
        <v>0</v>
      </c>
      <c r="AT440" s="379">
        <f t="shared" si="462"/>
        <v>0</v>
      </c>
      <c r="AU440" s="379">
        <f t="shared" si="463"/>
        <v>0</v>
      </c>
      <c r="AV440" s="379">
        <f t="shared" si="464"/>
        <v>0</v>
      </c>
      <c r="AW440" s="379">
        <f t="shared" si="465"/>
        <v>0</v>
      </c>
      <c r="AX440" s="379">
        <f t="shared" si="466"/>
        <v>0</v>
      </c>
      <c r="AY440" s="379">
        <f t="shared" si="467"/>
        <v>0</v>
      </c>
    </row>
    <row r="441" spans="1:51" x14ac:dyDescent="0.2">
      <c r="A441" s="376">
        <v>14650</v>
      </c>
      <c r="B441" s="378" t="str">
        <f t="shared" si="420"/>
        <v>Lake Macquarie (C)</v>
      </c>
      <c r="C441" s="377" t="str">
        <f t="shared" si="421"/>
        <v>Hunter</v>
      </c>
      <c r="D441" s="503" t="str">
        <f t="shared" si="422"/>
        <v>E</v>
      </c>
      <c r="E441" s="503"/>
      <c r="F441"/>
      <c r="G441" s="379">
        <f t="shared" si="423"/>
        <v>205748</v>
      </c>
      <c r="H441" s="379">
        <f t="shared" si="424"/>
        <v>77737</v>
      </c>
      <c r="I441" s="379">
        <f t="shared" si="425"/>
        <v>419</v>
      </c>
      <c r="J441" s="379" t="str">
        <f t="shared" si="426"/>
        <v>Y</v>
      </c>
      <c r="K441" s="379">
        <f t="shared" si="427"/>
        <v>77089</v>
      </c>
      <c r="L441" s="379">
        <f t="shared" si="428"/>
        <v>0</v>
      </c>
      <c r="M441" s="379">
        <f t="shared" si="429"/>
        <v>75962</v>
      </c>
      <c r="N441" s="379">
        <f t="shared" si="430"/>
        <v>75962</v>
      </c>
      <c r="O441" s="379">
        <f t="shared" si="431"/>
        <v>0</v>
      </c>
      <c r="P441" s="379" t="str">
        <f t="shared" si="432"/>
        <v>Y</v>
      </c>
      <c r="Q441" s="379" t="str">
        <f t="shared" si="433"/>
        <v>Y</v>
      </c>
      <c r="R441" s="379" t="str">
        <f t="shared" si="434"/>
        <v>CRC - Toxfree Awaba</v>
      </c>
      <c r="S441" s="379" t="str">
        <f t="shared" si="435"/>
        <v>Mattresses Awaba</v>
      </c>
      <c r="T441" s="379" t="str">
        <f t="shared" si="436"/>
        <v>Green Waste drop off - Awaba</v>
      </c>
      <c r="U441" s="379" t="str">
        <f t="shared" si="437"/>
        <v>Public Place Sharps</v>
      </c>
      <c r="V441" s="379" t="str">
        <f t="shared" si="438"/>
        <v>Landfill - Awaba</v>
      </c>
      <c r="W441" s="379" t="str">
        <f t="shared" si="439"/>
        <v>E-waste/Metals/Other</v>
      </c>
      <c r="X441" s="379">
        <f t="shared" si="440"/>
        <v>0</v>
      </c>
      <c r="Y441" s="379">
        <f t="shared" si="441"/>
        <v>0</v>
      </c>
      <c r="Z441" s="379">
        <f t="shared" si="442"/>
        <v>0</v>
      </c>
      <c r="AA441" s="379">
        <f t="shared" si="443"/>
        <v>0</v>
      </c>
      <c r="AB441" s="379">
        <f t="shared" si="444"/>
        <v>0</v>
      </c>
      <c r="AC441" s="379">
        <f t="shared" si="445"/>
        <v>0</v>
      </c>
      <c r="AD441" s="379">
        <f t="shared" si="446"/>
        <v>0</v>
      </c>
      <c r="AE441" s="379">
        <f t="shared" si="447"/>
        <v>0</v>
      </c>
      <c r="AF441" s="379">
        <f t="shared" si="448"/>
        <v>0</v>
      </c>
      <c r="AG441" s="379">
        <f t="shared" si="449"/>
        <v>0</v>
      </c>
      <c r="AH441" s="379">
        <f t="shared" si="450"/>
        <v>0</v>
      </c>
      <c r="AI441" s="379">
        <f t="shared" si="451"/>
        <v>0</v>
      </c>
      <c r="AJ441" s="379">
        <f t="shared" si="452"/>
        <v>0</v>
      </c>
      <c r="AK441" s="379">
        <f t="shared" si="453"/>
        <v>0</v>
      </c>
      <c r="AL441" s="379">
        <f t="shared" si="454"/>
        <v>0</v>
      </c>
      <c r="AM441" s="379">
        <f t="shared" si="455"/>
        <v>0</v>
      </c>
      <c r="AN441" s="490">
        <f t="shared" si="456"/>
        <v>0</v>
      </c>
      <c r="AO441" s="379">
        <f t="shared" si="457"/>
        <v>0</v>
      </c>
      <c r="AP441" s="379">
        <f t="shared" si="458"/>
        <v>0</v>
      </c>
      <c r="AQ441" s="379">
        <f t="shared" si="459"/>
        <v>0</v>
      </c>
      <c r="AR441" s="379">
        <f t="shared" si="460"/>
        <v>0</v>
      </c>
      <c r="AS441" s="379">
        <f t="shared" si="461"/>
        <v>0</v>
      </c>
      <c r="AT441" s="379">
        <f t="shared" si="462"/>
        <v>0</v>
      </c>
      <c r="AU441" s="379">
        <f t="shared" si="463"/>
        <v>0</v>
      </c>
      <c r="AV441" s="379">
        <f t="shared" si="464"/>
        <v>0</v>
      </c>
      <c r="AW441" s="379">
        <f t="shared" si="465"/>
        <v>0</v>
      </c>
      <c r="AX441" s="379">
        <f t="shared" si="466"/>
        <v>0</v>
      </c>
      <c r="AY441" s="379">
        <f t="shared" si="467"/>
        <v>0</v>
      </c>
    </row>
    <row r="442" spans="1:51" x14ac:dyDescent="0.2">
      <c r="A442" s="376">
        <v>15050</v>
      </c>
      <c r="B442" s="378" t="str">
        <f t="shared" si="420"/>
        <v>Maitland (C)</v>
      </c>
      <c r="C442" s="377" t="str">
        <f t="shared" si="421"/>
        <v>Hunter</v>
      </c>
      <c r="D442" s="503" t="str">
        <f t="shared" si="422"/>
        <v>E</v>
      </c>
      <c r="E442" s="503"/>
      <c r="F442"/>
      <c r="G442" s="379">
        <f t="shared" si="423"/>
        <v>78096</v>
      </c>
      <c r="H442" s="379">
        <f t="shared" si="424"/>
        <v>29070</v>
      </c>
      <c r="I442" s="379">
        <f t="shared" si="425"/>
        <v>461.75</v>
      </c>
      <c r="J442" s="379" t="str">
        <f t="shared" si="426"/>
        <v>Y</v>
      </c>
      <c r="K442" s="379">
        <f t="shared" si="427"/>
        <v>29070</v>
      </c>
      <c r="L442" s="379">
        <f t="shared" si="428"/>
        <v>0</v>
      </c>
      <c r="M442" s="379">
        <f t="shared" si="429"/>
        <v>30658</v>
      </c>
      <c r="N442" s="379">
        <f t="shared" si="430"/>
        <v>30333</v>
      </c>
      <c r="O442" s="379">
        <f t="shared" si="431"/>
        <v>0</v>
      </c>
      <c r="P442" s="379">
        <f t="shared" si="432"/>
        <v>0</v>
      </c>
      <c r="Q442" s="379" t="str">
        <f t="shared" si="433"/>
        <v>Y</v>
      </c>
      <c r="R442" s="379" t="str">
        <f t="shared" si="434"/>
        <v>Mt Vincent Rd Waste Management Centre</v>
      </c>
      <c r="S442" s="379">
        <f t="shared" si="435"/>
        <v>0</v>
      </c>
      <c r="T442" s="379">
        <f t="shared" si="436"/>
        <v>0</v>
      </c>
      <c r="U442" s="379">
        <f t="shared" si="437"/>
        <v>0</v>
      </c>
      <c r="V442" s="379">
        <f t="shared" si="438"/>
        <v>0</v>
      </c>
      <c r="W442" s="379">
        <f t="shared" si="439"/>
        <v>0</v>
      </c>
      <c r="X442" s="379">
        <f t="shared" si="440"/>
        <v>0</v>
      </c>
      <c r="Y442" s="379">
        <f t="shared" si="441"/>
        <v>0</v>
      </c>
      <c r="Z442" s="379">
        <f t="shared" si="442"/>
        <v>0</v>
      </c>
      <c r="AA442" s="379">
        <f t="shared" si="443"/>
        <v>0</v>
      </c>
      <c r="AB442" s="379">
        <f t="shared" si="444"/>
        <v>0</v>
      </c>
      <c r="AC442" s="379">
        <f t="shared" si="445"/>
        <v>0</v>
      </c>
      <c r="AD442" s="379">
        <f t="shared" si="446"/>
        <v>0</v>
      </c>
      <c r="AE442" s="379">
        <f t="shared" si="447"/>
        <v>0</v>
      </c>
      <c r="AF442" s="379">
        <f t="shared" si="448"/>
        <v>0</v>
      </c>
      <c r="AG442" s="379">
        <f t="shared" si="449"/>
        <v>0</v>
      </c>
      <c r="AH442" s="379">
        <f t="shared" si="450"/>
        <v>0</v>
      </c>
      <c r="AI442" s="379">
        <f t="shared" si="451"/>
        <v>0</v>
      </c>
      <c r="AJ442" s="379">
        <f t="shared" si="452"/>
        <v>0</v>
      </c>
      <c r="AK442" s="379">
        <f t="shared" si="453"/>
        <v>0</v>
      </c>
      <c r="AL442" s="379">
        <f t="shared" si="454"/>
        <v>0</v>
      </c>
      <c r="AM442" s="379">
        <f t="shared" si="455"/>
        <v>0</v>
      </c>
      <c r="AN442" s="490">
        <f t="shared" si="456"/>
        <v>0</v>
      </c>
      <c r="AO442" s="379">
        <f t="shared" si="457"/>
        <v>0</v>
      </c>
      <c r="AP442" s="379">
        <f t="shared" si="458"/>
        <v>0</v>
      </c>
      <c r="AQ442" s="379">
        <f t="shared" si="459"/>
        <v>0</v>
      </c>
      <c r="AR442" s="379">
        <f t="shared" si="460"/>
        <v>0</v>
      </c>
      <c r="AS442" s="379">
        <f t="shared" si="461"/>
        <v>0</v>
      </c>
      <c r="AT442" s="379">
        <f t="shared" si="462"/>
        <v>0</v>
      </c>
      <c r="AU442" s="379">
        <f t="shared" si="463"/>
        <v>0</v>
      </c>
      <c r="AV442" s="379">
        <f t="shared" si="464"/>
        <v>0</v>
      </c>
      <c r="AW442" s="379">
        <f t="shared" si="465"/>
        <v>0</v>
      </c>
      <c r="AX442" s="379">
        <f t="shared" si="466"/>
        <v>0</v>
      </c>
      <c r="AY442" s="379">
        <f t="shared" si="467"/>
        <v>0</v>
      </c>
    </row>
    <row r="443" spans="1:51" x14ac:dyDescent="0.2">
      <c r="A443" s="376">
        <v>15900</v>
      </c>
      <c r="B443" s="378" t="str">
        <f t="shared" si="420"/>
        <v>Newcastle (C)</v>
      </c>
      <c r="C443" s="377" t="str">
        <f t="shared" si="421"/>
        <v>Hunter</v>
      </c>
      <c r="D443" s="503" t="str">
        <f t="shared" si="422"/>
        <v>E</v>
      </c>
      <c r="E443" s="503"/>
      <c r="F443"/>
      <c r="G443" s="379">
        <f t="shared" si="423"/>
        <v>162766</v>
      </c>
      <c r="H443" s="379">
        <f t="shared" si="424"/>
        <v>63167</v>
      </c>
      <c r="I443" s="379">
        <f t="shared" si="425"/>
        <v>340.09</v>
      </c>
      <c r="J443" s="379" t="str">
        <f t="shared" si="426"/>
        <v>Y</v>
      </c>
      <c r="K443" s="379">
        <f t="shared" si="427"/>
        <v>63167</v>
      </c>
      <c r="L443" s="379">
        <f t="shared" si="428"/>
        <v>0</v>
      </c>
      <c r="M443" s="379">
        <f t="shared" si="429"/>
        <v>63167</v>
      </c>
      <c r="N443" s="379">
        <f t="shared" si="430"/>
        <v>63463</v>
      </c>
      <c r="O443" s="379">
        <f t="shared" si="431"/>
        <v>0</v>
      </c>
      <c r="P443" s="379" t="str">
        <f t="shared" si="432"/>
        <v>Y</v>
      </c>
      <c r="Q443" s="379" t="str">
        <f t="shared" si="433"/>
        <v>Y</v>
      </c>
      <c r="R443" s="379" t="str">
        <f t="shared" si="434"/>
        <v>Summerhill Waste Management Centre</v>
      </c>
      <c r="S443" s="379" t="str">
        <f t="shared" si="435"/>
        <v>Battery Brokers, Hamilton</v>
      </c>
      <c r="T443" s="379" t="str">
        <f t="shared" si="436"/>
        <v>Matilda's Service Station, Wallsend</v>
      </c>
      <c r="U443" s="379" t="str">
        <f t="shared" si="437"/>
        <v>Council Libraries and Customer Enquiry Centre</v>
      </c>
      <c r="V443" s="379">
        <f t="shared" si="438"/>
        <v>0</v>
      </c>
      <c r="W443" s="379">
        <f t="shared" si="439"/>
        <v>0</v>
      </c>
      <c r="X443" s="379">
        <f t="shared" si="440"/>
        <v>0</v>
      </c>
      <c r="Y443" s="379">
        <f t="shared" si="441"/>
        <v>0</v>
      </c>
      <c r="Z443" s="379">
        <f t="shared" si="442"/>
        <v>0</v>
      </c>
      <c r="AA443" s="379">
        <f t="shared" si="443"/>
        <v>0</v>
      </c>
      <c r="AB443" s="379">
        <f t="shared" si="444"/>
        <v>0</v>
      </c>
      <c r="AC443" s="379">
        <f t="shared" si="445"/>
        <v>0</v>
      </c>
      <c r="AD443" s="379">
        <f t="shared" si="446"/>
        <v>0</v>
      </c>
      <c r="AE443" s="379">
        <f t="shared" si="447"/>
        <v>0</v>
      </c>
      <c r="AF443" s="379">
        <f t="shared" si="448"/>
        <v>0</v>
      </c>
      <c r="AG443" s="379">
        <f t="shared" si="449"/>
        <v>0</v>
      </c>
      <c r="AH443" s="379">
        <f t="shared" si="450"/>
        <v>0</v>
      </c>
      <c r="AI443" s="379">
        <f t="shared" si="451"/>
        <v>0</v>
      </c>
      <c r="AJ443" s="379">
        <f t="shared" si="452"/>
        <v>0</v>
      </c>
      <c r="AK443" s="379">
        <f t="shared" si="453"/>
        <v>0</v>
      </c>
      <c r="AL443" s="379">
        <f t="shared" si="454"/>
        <v>0</v>
      </c>
      <c r="AM443" s="379">
        <f t="shared" si="455"/>
        <v>0</v>
      </c>
      <c r="AN443" s="490">
        <f t="shared" si="456"/>
        <v>0</v>
      </c>
      <c r="AO443" s="379">
        <f t="shared" si="457"/>
        <v>0</v>
      </c>
      <c r="AP443" s="379">
        <f t="shared" si="458"/>
        <v>0</v>
      </c>
      <c r="AQ443" s="379">
        <f t="shared" si="459"/>
        <v>0</v>
      </c>
      <c r="AR443" s="379">
        <f t="shared" si="460"/>
        <v>0</v>
      </c>
      <c r="AS443" s="379">
        <f t="shared" si="461"/>
        <v>0</v>
      </c>
      <c r="AT443" s="379">
        <f t="shared" si="462"/>
        <v>0</v>
      </c>
      <c r="AU443" s="379">
        <f t="shared" si="463"/>
        <v>0</v>
      </c>
      <c r="AV443" s="379">
        <f t="shared" si="464"/>
        <v>0</v>
      </c>
      <c r="AW443" s="379">
        <f t="shared" si="465"/>
        <v>0</v>
      </c>
      <c r="AX443" s="379">
        <f t="shared" si="466"/>
        <v>0</v>
      </c>
      <c r="AY443" s="379">
        <f t="shared" si="467"/>
        <v>0</v>
      </c>
    </row>
    <row r="444" spans="1:51" x14ac:dyDescent="0.2">
      <c r="A444" s="376">
        <v>16400</v>
      </c>
      <c r="B444" s="378" t="str">
        <f t="shared" si="420"/>
        <v>Port Stephens (A)</v>
      </c>
      <c r="C444" s="377" t="str">
        <f t="shared" si="421"/>
        <v>Hunter</v>
      </c>
      <c r="D444" s="503" t="str">
        <f t="shared" si="422"/>
        <v>E</v>
      </c>
      <c r="E444" s="503"/>
      <c r="F444"/>
      <c r="G444" s="379">
        <f t="shared" si="423"/>
        <v>71406</v>
      </c>
      <c r="H444" s="379">
        <f t="shared" si="424"/>
        <v>31649</v>
      </c>
      <c r="I444" s="379">
        <f t="shared" si="425"/>
        <v>401</v>
      </c>
      <c r="J444" s="379" t="str">
        <f t="shared" si="426"/>
        <v>Y</v>
      </c>
      <c r="K444" s="379">
        <f t="shared" si="427"/>
        <v>33798</v>
      </c>
      <c r="L444" s="379" t="str">
        <f t="shared" si="428"/>
        <v>Y</v>
      </c>
      <c r="M444" s="379">
        <f t="shared" si="429"/>
        <v>33792</v>
      </c>
      <c r="N444" s="379">
        <f t="shared" si="430"/>
        <v>0</v>
      </c>
      <c r="O444" s="379">
        <f t="shared" si="431"/>
        <v>0</v>
      </c>
      <c r="P444" s="379" t="str">
        <f t="shared" si="432"/>
        <v>Y</v>
      </c>
      <c r="Q444" s="379" t="str">
        <f t="shared" si="433"/>
        <v>Y</v>
      </c>
      <c r="R444" s="379" t="str">
        <f t="shared" si="434"/>
        <v>Salamander Bay Waste Transfer Station</v>
      </c>
      <c r="S444" s="379">
        <f t="shared" si="435"/>
        <v>0</v>
      </c>
      <c r="T444" s="379">
        <f t="shared" si="436"/>
        <v>0</v>
      </c>
      <c r="U444" s="379">
        <f t="shared" si="437"/>
        <v>0</v>
      </c>
      <c r="V444" s="379">
        <f t="shared" si="438"/>
        <v>0</v>
      </c>
      <c r="W444" s="379">
        <f t="shared" si="439"/>
        <v>0</v>
      </c>
      <c r="X444" s="379">
        <f t="shared" si="440"/>
        <v>0</v>
      </c>
      <c r="Y444" s="379">
        <f t="shared" si="441"/>
        <v>0</v>
      </c>
      <c r="Z444" s="379">
        <f t="shared" si="442"/>
        <v>0</v>
      </c>
      <c r="AA444" s="379">
        <f t="shared" si="443"/>
        <v>0</v>
      </c>
      <c r="AB444" s="379">
        <f t="shared" si="444"/>
        <v>0</v>
      </c>
      <c r="AC444" s="379">
        <f t="shared" si="445"/>
        <v>0</v>
      </c>
      <c r="AD444" s="379">
        <f t="shared" si="446"/>
        <v>0</v>
      </c>
      <c r="AE444" s="379">
        <f t="shared" si="447"/>
        <v>0</v>
      </c>
      <c r="AF444" s="379">
        <f t="shared" si="448"/>
        <v>0</v>
      </c>
      <c r="AG444" s="379">
        <f t="shared" si="449"/>
        <v>0</v>
      </c>
      <c r="AH444" s="379">
        <f t="shared" si="450"/>
        <v>0</v>
      </c>
      <c r="AI444" s="379">
        <f t="shared" si="451"/>
        <v>0</v>
      </c>
      <c r="AJ444" s="379">
        <f t="shared" si="452"/>
        <v>0</v>
      </c>
      <c r="AK444" s="379">
        <f t="shared" si="453"/>
        <v>0</v>
      </c>
      <c r="AL444" s="379">
        <f t="shared" si="454"/>
        <v>0</v>
      </c>
      <c r="AM444" s="379">
        <f t="shared" si="455"/>
        <v>0</v>
      </c>
      <c r="AN444" s="490">
        <f t="shared" si="456"/>
        <v>0</v>
      </c>
      <c r="AO444" s="379">
        <f t="shared" si="457"/>
        <v>0</v>
      </c>
      <c r="AP444" s="379">
        <f t="shared" si="458"/>
        <v>0</v>
      </c>
      <c r="AQ444" s="379">
        <f t="shared" si="459"/>
        <v>0</v>
      </c>
      <c r="AR444" s="379">
        <f t="shared" si="460"/>
        <v>0</v>
      </c>
      <c r="AS444" s="379">
        <f t="shared" si="461"/>
        <v>0</v>
      </c>
      <c r="AT444" s="379">
        <f t="shared" si="462"/>
        <v>0</v>
      </c>
      <c r="AU444" s="379">
        <f t="shared" si="463"/>
        <v>0</v>
      </c>
      <c r="AV444" s="379">
        <f t="shared" si="464"/>
        <v>0</v>
      </c>
      <c r="AW444" s="379">
        <f t="shared" si="465"/>
        <v>0</v>
      </c>
      <c r="AX444" s="379">
        <f t="shared" si="466"/>
        <v>0</v>
      </c>
      <c r="AY444" s="379">
        <f t="shared" si="467"/>
        <v>0</v>
      </c>
    </row>
    <row r="445" spans="1:51" x14ac:dyDescent="0.2">
      <c r="A445" s="376">
        <v>16900</v>
      </c>
      <c r="B445" s="378" t="str">
        <f t="shared" si="420"/>
        <v>Shellharbour (C)</v>
      </c>
      <c r="C445" s="377" t="str">
        <f t="shared" si="421"/>
        <v>ISJO</v>
      </c>
      <c r="D445" s="503" t="str">
        <f t="shared" si="422"/>
        <v>E</v>
      </c>
      <c r="E445" s="503"/>
      <c r="F445"/>
      <c r="G445" s="379">
        <f t="shared" si="423"/>
        <v>70734</v>
      </c>
      <c r="H445" s="379">
        <f t="shared" si="424"/>
        <v>26863</v>
      </c>
      <c r="I445" s="379">
        <f t="shared" si="425"/>
        <v>535</v>
      </c>
      <c r="J445" s="379" t="str">
        <f t="shared" si="426"/>
        <v>Y</v>
      </c>
      <c r="K445" s="379">
        <f t="shared" si="427"/>
        <v>25887</v>
      </c>
      <c r="L445" s="379">
        <f t="shared" si="428"/>
        <v>0</v>
      </c>
      <c r="M445" s="379">
        <f t="shared" si="429"/>
        <v>25826</v>
      </c>
      <c r="N445" s="379">
        <f t="shared" si="430"/>
        <v>0</v>
      </c>
      <c r="O445" s="379">
        <f t="shared" si="431"/>
        <v>24327</v>
      </c>
      <c r="P445" s="379" t="str">
        <f t="shared" si="432"/>
        <v>Y</v>
      </c>
      <c r="Q445" s="379" t="str">
        <f t="shared" si="433"/>
        <v>Y</v>
      </c>
      <c r="R445" s="379" t="str">
        <f t="shared" si="434"/>
        <v>Dunmore Recycling &amp; Waste Disposal Depot</v>
      </c>
      <c r="S445" s="379">
        <f t="shared" si="435"/>
        <v>0</v>
      </c>
      <c r="T445" s="379">
        <f t="shared" si="436"/>
        <v>0</v>
      </c>
      <c r="U445" s="379">
        <f t="shared" si="437"/>
        <v>0</v>
      </c>
      <c r="V445" s="379">
        <f t="shared" si="438"/>
        <v>0</v>
      </c>
      <c r="W445" s="379">
        <f t="shared" si="439"/>
        <v>0</v>
      </c>
      <c r="X445" s="379">
        <f t="shared" si="440"/>
        <v>0</v>
      </c>
      <c r="Y445" s="379">
        <f t="shared" si="441"/>
        <v>0</v>
      </c>
      <c r="Z445" s="379">
        <f t="shared" si="442"/>
        <v>0</v>
      </c>
      <c r="AA445" s="379">
        <f t="shared" si="443"/>
        <v>0</v>
      </c>
      <c r="AB445" s="379">
        <f t="shared" si="444"/>
        <v>0</v>
      </c>
      <c r="AC445" s="379">
        <f t="shared" si="445"/>
        <v>0</v>
      </c>
      <c r="AD445" s="379">
        <f t="shared" si="446"/>
        <v>0</v>
      </c>
      <c r="AE445" s="379">
        <f t="shared" si="447"/>
        <v>0</v>
      </c>
      <c r="AF445" s="379">
        <f t="shared" si="448"/>
        <v>0</v>
      </c>
      <c r="AG445" s="379">
        <f t="shared" si="449"/>
        <v>0</v>
      </c>
      <c r="AH445" s="379">
        <f t="shared" si="450"/>
        <v>0</v>
      </c>
      <c r="AI445" s="379">
        <f t="shared" si="451"/>
        <v>0</v>
      </c>
      <c r="AJ445" s="379">
        <f t="shared" si="452"/>
        <v>0</v>
      </c>
      <c r="AK445" s="379">
        <f t="shared" si="453"/>
        <v>0</v>
      </c>
      <c r="AL445" s="379">
        <f t="shared" si="454"/>
        <v>0</v>
      </c>
      <c r="AM445" s="379">
        <f t="shared" si="455"/>
        <v>0</v>
      </c>
      <c r="AN445" s="490">
        <f t="shared" si="456"/>
        <v>0</v>
      </c>
      <c r="AO445" s="379">
        <f t="shared" si="457"/>
        <v>0</v>
      </c>
      <c r="AP445" s="379">
        <f t="shared" si="458"/>
        <v>0</v>
      </c>
      <c r="AQ445" s="379">
        <f t="shared" si="459"/>
        <v>0</v>
      </c>
      <c r="AR445" s="379">
        <f t="shared" si="460"/>
        <v>0</v>
      </c>
      <c r="AS445" s="379">
        <f t="shared" si="461"/>
        <v>0</v>
      </c>
      <c r="AT445" s="379">
        <f t="shared" si="462"/>
        <v>0</v>
      </c>
      <c r="AU445" s="379">
        <f t="shared" si="463"/>
        <v>0</v>
      </c>
      <c r="AV445" s="379">
        <f t="shared" si="464"/>
        <v>0</v>
      </c>
      <c r="AW445" s="379">
        <f t="shared" si="465"/>
        <v>0</v>
      </c>
      <c r="AX445" s="379">
        <f t="shared" si="466"/>
        <v>0</v>
      </c>
      <c r="AY445" s="379">
        <f t="shared" si="467"/>
        <v>0</v>
      </c>
    </row>
    <row r="446" spans="1:51" x14ac:dyDescent="0.2">
      <c r="A446" s="376">
        <v>16950</v>
      </c>
      <c r="B446" s="378" t="str">
        <f t="shared" si="420"/>
        <v>Shoalhaven (C)</v>
      </c>
      <c r="C446" s="377" t="str">
        <f t="shared" si="421"/>
        <v>ISJO</v>
      </c>
      <c r="D446" s="503" t="str">
        <f t="shared" si="422"/>
        <v>E</v>
      </c>
      <c r="E446" s="503"/>
      <c r="F446"/>
      <c r="G446" s="379">
        <f t="shared" si="423"/>
        <v>101462</v>
      </c>
      <c r="H446" s="379">
        <f t="shared" si="424"/>
        <v>54514</v>
      </c>
      <c r="I446" s="379">
        <f t="shared" si="425"/>
        <v>315</v>
      </c>
      <c r="J446" s="379" t="str">
        <f t="shared" si="426"/>
        <v>Y</v>
      </c>
      <c r="K446" s="379">
        <f t="shared" si="427"/>
        <v>50966</v>
      </c>
      <c r="L446" s="379">
        <f t="shared" si="428"/>
        <v>0</v>
      </c>
      <c r="M446" s="379">
        <f t="shared" si="429"/>
        <v>51223</v>
      </c>
      <c r="N446" s="379">
        <f t="shared" si="430"/>
        <v>0</v>
      </c>
      <c r="O446" s="379">
        <f t="shared" si="431"/>
        <v>0</v>
      </c>
      <c r="P446" s="379" t="str">
        <f t="shared" si="432"/>
        <v>Y</v>
      </c>
      <c r="Q446" s="379" t="str">
        <f t="shared" si="433"/>
        <v>Y</v>
      </c>
      <c r="R446" s="379" t="str">
        <f t="shared" si="434"/>
        <v>West Nowra Recycling ans Waste Facility</v>
      </c>
      <c r="S446" s="379" t="str">
        <f t="shared" si="435"/>
        <v>Ulladulla recycling and Waste Transfer Facility</v>
      </c>
      <c r="T446" s="379" t="str">
        <f t="shared" si="436"/>
        <v>Huskisson Recycling and Waste Transfer Facility</v>
      </c>
      <c r="U446" s="379" t="str">
        <f t="shared" si="437"/>
        <v>Berry Recycling and Waste transfer Facility</v>
      </c>
      <c r="V446" s="379" t="str">
        <f t="shared" si="438"/>
        <v>Callala Recycling and Waste transfer Facility</v>
      </c>
      <c r="W446" s="379" t="str">
        <f t="shared" si="439"/>
        <v>Sussex Inlet Recycling and Waste Transfer Facility</v>
      </c>
      <c r="X446" s="379">
        <f t="shared" si="440"/>
        <v>0</v>
      </c>
      <c r="Y446" s="379">
        <f t="shared" si="441"/>
        <v>0</v>
      </c>
      <c r="Z446" s="379">
        <f t="shared" si="442"/>
        <v>0</v>
      </c>
      <c r="AA446" s="379">
        <f t="shared" si="443"/>
        <v>0</v>
      </c>
      <c r="AB446" s="379">
        <f t="shared" si="444"/>
        <v>0</v>
      </c>
      <c r="AC446" s="379">
        <f t="shared" si="445"/>
        <v>0</v>
      </c>
      <c r="AD446" s="379">
        <f t="shared" si="446"/>
        <v>0</v>
      </c>
      <c r="AE446" s="379">
        <f t="shared" si="447"/>
        <v>0</v>
      </c>
      <c r="AF446" s="379">
        <f t="shared" si="448"/>
        <v>0</v>
      </c>
      <c r="AG446" s="379">
        <f t="shared" si="449"/>
        <v>0</v>
      </c>
      <c r="AH446" s="379">
        <f t="shared" si="450"/>
        <v>0</v>
      </c>
      <c r="AI446" s="379">
        <f t="shared" si="451"/>
        <v>0</v>
      </c>
      <c r="AJ446" s="379">
        <f t="shared" si="452"/>
        <v>0</v>
      </c>
      <c r="AK446" s="379">
        <f t="shared" si="453"/>
        <v>0</v>
      </c>
      <c r="AL446" s="379">
        <f t="shared" si="454"/>
        <v>0</v>
      </c>
      <c r="AM446" s="379">
        <f t="shared" si="455"/>
        <v>0</v>
      </c>
      <c r="AN446" s="490">
        <f t="shared" si="456"/>
        <v>0</v>
      </c>
      <c r="AO446" s="379">
        <f t="shared" si="457"/>
        <v>0</v>
      </c>
      <c r="AP446" s="379">
        <f t="shared" si="458"/>
        <v>0</v>
      </c>
      <c r="AQ446" s="379">
        <f t="shared" si="459"/>
        <v>0</v>
      </c>
      <c r="AR446" s="379">
        <f t="shared" si="460"/>
        <v>0</v>
      </c>
      <c r="AS446" s="379">
        <f t="shared" si="461"/>
        <v>0</v>
      </c>
      <c r="AT446" s="379">
        <f t="shared" si="462"/>
        <v>0</v>
      </c>
      <c r="AU446" s="379">
        <f t="shared" si="463"/>
        <v>0</v>
      </c>
      <c r="AV446" s="379">
        <f t="shared" si="464"/>
        <v>0</v>
      </c>
      <c r="AW446" s="379">
        <f t="shared" si="465"/>
        <v>0</v>
      </c>
      <c r="AX446" s="379">
        <f t="shared" si="466"/>
        <v>0</v>
      </c>
      <c r="AY446" s="379">
        <f t="shared" si="467"/>
        <v>0</v>
      </c>
    </row>
    <row r="447" spans="1:51" x14ac:dyDescent="0.2">
      <c r="A447" s="376">
        <v>18350</v>
      </c>
      <c r="B447" s="378" t="str">
        <f t="shared" si="420"/>
        <v>Wingecarribee (A)</v>
      </c>
      <c r="C447" s="377" t="str">
        <f t="shared" si="421"/>
        <v>ISJO</v>
      </c>
      <c r="D447" s="503" t="str">
        <f t="shared" si="422"/>
        <v>E</v>
      </c>
      <c r="E447" s="503"/>
      <c r="F447"/>
      <c r="G447" s="379">
        <f t="shared" si="423"/>
        <v>48845</v>
      </c>
      <c r="H447" s="379">
        <f t="shared" si="424"/>
        <v>18416</v>
      </c>
      <c r="I447" s="379">
        <f t="shared" si="425"/>
        <v>412</v>
      </c>
      <c r="J447" s="379" t="str">
        <f t="shared" si="426"/>
        <v>Y</v>
      </c>
      <c r="K447" s="379">
        <f t="shared" si="427"/>
        <v>18964</v>
      </c>
      <c r="L447" s="379">
        <f t="shared" si="428"/>
        <v>0</v>
      </c>
      <c r="M447" s="379">
        <f t="shared" si="429"/>
        <v>18943</v>
      </c>
      <c r="N447" s="379">
        <f t="shared" si="430"/>
        <v>17745</v>
      </c>
      <c r="O447" s="379">
        <f t="shared" si="431"/>
        <v>0</v>
      </c>
      <c r="P447" s="379" t="str">
        <f t="shared" si="432"/>
        <v>Y</v>
      </c>
      <c r="Q447" s="379" t="str">
        <f t="shared" si="433"/>
        <v>Y</v>
      </c>
      <c r="R447" s="379" t="str">
        <f t="shared" si="434"/>
        <v>Resource Recovery Centre</v>
      </c>
      <c r="S447" s="379">
        <f t="shared" si="435"/>
        <v>0</v>
      </c>
      <c r="T447" s="379">
        <f t="shared" si="436"/>
        <v>0</v>
      </c>
      <c r="U447" s="379">
        <f t="shared" si="437"/>
        <v>0</v>
      </c>
      <c r="V447" s="379">
        <f t="shared" si="438"/>
        <v>0</v>
      </c>
      <c r="W447" s="379">
        <f t="shared" si="439"/>
        <v>0</v>
      </c>
      <c r="X447" s="379">
        <f t="shared" si="440"/>
        <v>0</v>
      </c>
      <c r="Y447" s="379">
        <f t="shared" si="441"/>
        <v>0</v>
      </c>
      <c r="Z447" s="379">
        <f t="shared" si="442"/>
        <v>0</v>
      </c>
      <c r="AA447" s="379">
        <f t="shared" si="443"/>
        <v>0</v>
      </c>
      <c r="AB447" s="379">
        <f t="shared" si="444"/>
        <v>0</v>
      </c>
      <c r="AC447" s="379">
        <f t="shared" si="445"/>
        <v>0</v>
      </c>
      <c r="AD447" s="379">
        <f t="shared" si="446"/>
        <v>0</v>
      </c>
      <c r="AE447" s="379">
        <f t="shared" si="447"/>
        <v>0</v>
      </c>
      <c r="AF447" s="379">
        <f t="shared" si="448"/>
        <v>0</v>
      </c>
      <c r="AG447" s="379">
        <f t="shared" si="449"/>
        <v>0</v>
      </c>
      <c r="AH447" s="379">
        <f t="shared" si="450"/>
        <v>0</v>
      </c>
      <c r="AI447" s="379">
        <f t="shared" si="451"/>
        <v>0</v>
      </c>
      <c r="AJ447" s="379">
        <f t="shared" si="452"/>
        <v>0</v>
      </c>
      <c r="AK447" s="379">
        <f t="shared" si="453"/>
        <v>0</v>
      </c>
      <c r="AL447" s="379">
        <f t="shared" si="454"/>
        <v>0</v>
      </c>
      <c r="AM447" s="379">
        <f t="shared" si="455"/>
        <v>0</v>
      </c>
      <c r="AN447" s="490">
        <f t="shared" si="456"/>
        <v>0</v>
      </c>
      <c r="AO447" s="379">
        <f t="shared" si="457"/>
        <v>0</v>
      </c>
      <c r="AP447" s="379">
        <f t="shared" si="458"/>
        <v>0</v>
      </c>
      <c r="AQ447" s="379">
        <f t="shared" si="459"/>
        <v>0</v>
      </c>
      <c r="AR447" s="379">
        <f t="shared" si="460"/>
        <v>0</v>
      </c>
      <c r="AS447" s="379">
        <f t="shared" si="461"/>
        <v>0</v>
      </c>
      <c r="AT447" s="379">
        <f t="shared" si="462"/>
        <v>0</v>
      </c>
      <c r="AU447" s="379">
        <f t="shared" si="463"/>
        <v>0</v>
      </c>
      <c r="AV447" s="379">
        <f t="shared" si="464"/>
        <v>0</v>
      </c>
      <c r="AW447" s="379">
        <f t="shared" si="465"/>
        <v>0</v>
      </c>
      <c r="AX447" s="379">
        <f t="shared" si="466"/>
        <v>0</v>
      </c>
      <c r="AY447" s="379">
        <f t="shared" si="467"/>
        <v>0</v>
      </c>
    </row>
    <row r="448" spans="1:51" ht="13.5" thickBot="1" x14ac:dyDescent="0.25">
      <c r="A448" s="376">
        <v>18450</v>
      </c>
      <c r="B448" s="378" t="str">
        <f t="shared" si="420"/>
        <v>Wollongong (C)</v>
      </c>
      <c r="C448" s="377" t="str">
        <f t="shared" si="421"/>
        <v>ISJO</v>
      </c>
      <c r="D448" s="503" t="str">
        <f t="shared" si="422"/>
        <v>E</v>
      </c>
      <c r="E448" s="503"/>
      <c r="F448"/>
      <c r="G448" s="379">
        <f t="shared" si="423"/>
        <v>211213</v>
      </c>
      <c r="H448" s="379">
        <f t="shared" si="424"/>
        <v>82433</v>
      </c>
      <c r="I448" s="379">
        <f t="shared" si="425"/>
        <v>399</v>
      </c>
      <c r="J448" s="379" t="str">
        <f t="shared" si="426"/>
        <v>Y</v>
      </c>
      <c r="K448" s="379">
        <f t="shared" si="427"/>
        <v>82035</v>
      </c>
      <c r="L448" s="379">
        <f t="shared" si="428"/>
        <v>0</v>
      </c>
      <c r="M448" s="379">
        <f t="shared" si="429"/>
        <v>82035</v>
      </c>
      <c r="N448" s="379">
        <f t="shared" si="430"/>
        <v>82035</v>
      </c>
      <c r="O448" s="379">
        <f t="shared" si="431"/>
        <v>0</v>
      </c>
      <c r="P448" s="379" t="str">
        <f t="shared" si="432"/>
        <v>Y</v>
      </c>
      <c r="Q448" s="379" t="str">
        <f t="shared" si="433"/>
        <v>Y</v>
      </c>
      <c r="R448" s="379" t="str">
        <f t="shared" si="434"/>
        <v>Whytes Gully Community droppff</v>
      </c>
      <c r="S448" s="379">
        <f t="shared" si="435"/>
        <v>0</v>
      </c>
      <c r="T448" s="379">
        <f t="shared" si="436"/>
        <v>0</v>
      </c>
      <c r="U448" s="379">
        <f t="shared" si="437"/>
        <v>0</v>
      </c>
      <c r="V448" s="379">
        <f t="shared" si="438"/>
        <v>0</v>
      </c>
      <c r="W448" s="379">
        <f t="shared" si="439"/>
        <v>0</v>
      </c>
      <c r="X448" s="379">
        <f t="shared" si="440"/>
        <v>0</v>
      </c>
      <c r="Y448" s="379">
        <f t="shared" si="441"/>
        <v>0</v>
      </c>
      <c r="Z448" s="379">
        <f t="shared" si="442"/>
        <v>0</v>
      </c>
      <c r="AA448" s="379">
        <f t="shared" si="443"/>
        <v>0</v>
      </c>
      <c r="AB448" s="379">
        <f t="shared" si="444"/>
        <v>0</v>
      </c>
      <c r="AC448" s="379">
        <f t="shared" si="445"/>
        <v>0</v>
      </c>
      <c r="AD448" s="379">
        <f t="shared" si="446"/>
        <v>0</v>
      </c>
      <c r="AE448" s="379">
        <f t="shared" si="447"/>
        <v>0</v>
      </c>
      <c r="AF448" s="379">
        <f t="shared" si="448"/>
        <v>0</v>
      </c>
      <c r="AG448" s="379">
        <f t="shared" si="449"/>
        <v>0</v>
      </c>
      <c r="AH448" s="379">
        <f t="shared" si="450"/>
        <v>0</v>
      </c>
      <c r="AI448" s="379">
        <f t="shared" si="451"/>
        <v>0</v>
      </c>
      <c r="AJ448" s="379">
        <f t="shared" si="452"/>
        <v>0</v>
      </c>
      <c r="AK448" s="379">
        <f t="shared" si="453"/>
        <v>0</v>
      </c>
      <c r="AL448" s="379">
        <f t="shared" si="454"/>
        <v>0</v>
      </c>
      <c r="AM448" s="379">
        <f t="shared" si="455"/>
        <v>0</v>
      </c>
      <c r="AN448" s="490">
        <f t="shared" si="456"/>
        <v>0</v>
      </c>
      <c r="AO448" s="379">
        <f t="shared" si="457"/>
        <v>0</v>
      </c>
      <c r="AP448" s="379">
        <f t="shared" si="458"/>
        <v>0</v>
      </c>
      <c r="AQ448" s="379">
        <f t="shared" si="459"/>
        <v>0</v>
      </c>
      <c r="AR448" s="379">
        <f t="shared" si="460"/>
        <v>0</v>
      </c>
      <c r="AS448" s="379">
        <f t="shared" si="461"/>
        <v>0</v>
      </c>
      <c r="AT448" s="379">
        <f t="shared" si="462"/>
        <v>0</v>
      </c>
      <c r="AU448" s="379">
        <f t="shared" si="463"/>
        <v>0</v>
      </c>
      <c r="AV448" s="379">
        <f t="shared" si="464"/>
        <v>0</v>
      </c>
      <c r="AW448" s="379">
        <f t="shared" si="465"/>
        <v>0</v>
      </c>
      <c r="AX448" s="379">
        <f t="shared" si="466"/>
        <v>0</v>
      </c>
      <c r="AY448" s="379">
        <f t="shared" si="467"/>
        <v>0</v>
      </c>
    </row>
    <row r="449" spans="1:51" ht="13.5" thickTop="1" x14ac:dyDescent="0.2">
      <c r="A449" s="380"/>
      <c r="B449" s="391"/>
      <c r="C449" s="380" t="s">
        <v>264</v>
      </c>
      <c r="D449" s="380"/>
      <c r="E449" s="484"/>
      <c r="F449" s="381"/>
      <c r="G449" s="382">
        <f t="shared" ref="G449:AY449" si="468">COUNTIF(G407:G448,"&gt;0")</f>
        <v>42</v>
      </c>
      <c r="H449" s="382">
        <f t="shared" si="468"/>
        <v>42</v>
      </c>
      <c r="I449" s="382">
        <f t="shared" si="468"/>
        <v>42</v>
      </c>
      <c r="J449" s="382">
        <f t="shared" si="468"/>
        <v>0</v>
      </c>
      <c r="K449" s="382">
        <f t="shared" si="468"/>
        <v>42</v>
      </c>
      <c r="L449" s="382">
        <f t="shared" si="468"/>
        <v>0</v>
      </c>
      <c r="M449" s="382">
        <f t="shared" si="468"/>
        <v>42</v>
      </c>
      <c r="N449" s="382">
        <f t="shared" si="468"/>
        <v>33</v>
      </c>
      <c r="O449" s="382">
        <f t="shared" si="468"/>
        <v>5</v>
      </c>
      <c r="P449" s="382">
        <f t="shared" si="468"/>
        <v>0</v>
      </c>
      <c r="Q449" s="382">
        <f t="shared" si="468"/>
        <v>0</v>
      </c>
      <c r="R449" s="382">
        <f t="shared" si="468"/>
        <v>0</v>
      </c>
      <c r="S449" s="382">
        <f t="shared" si="468"/>
        <v>0</v>
      </c>
      <c r="T449" s="382">
        <f t="shared" si="468"/>
        <v>0</v>
      </c>
      <c r="U449" s="382">
        <f t="shared" si="468"/>
        <v>0</v>
      </c>
      <c r="V449" s="382">
        <f t="shared" si="468"/>
        <v>0</v>
      </c>
      <c r="W449" s="382">
        <f t="shared" si="468"/>
        <v>0</v>
      </c>
      <c r="X449" s="382">
        <f t="shared" si="468"/>
        <v>0</v>
      </c>
      <c r="Y449" s="382">
        <f t="shared" si="468"/>
        <v>0</v>
      </c>
      <c r="Z449" s="382">
        <f t="shared" si="468"/>
        <v>0</v>
      </c>
      <c r="AA449" s="382">
        <f t="shared" si="468"/>
        <v>0</v>
      </c>
      <c r="AB449" s="382">
        <f t="shared" si="468"/>
        <v>0</v>
      </c>
      <c r="AC449" s="382">
        <f t="shared" si="468"/>
        <v>0</v>
      </c>
      <c r="AD449" s="382">
        <f t="shared" si="468"/>
        <v>0</v>
      </c>
      <c r="AE449" s="382">
        <f t="shared" si="468"/>
        <v>0</v>
      </c>
      <c r="AF449" s="382">
        <f t="shared" si="468"/>
        <v>0</v>
      </c>
      <c r="AG449" s="382">
        <f t="shared" si="468"/>
        <v>0</v>
      </c>
      <c r="AH449" s="382">
        <f t="shared" si="468"/>
        <v>0</v>
      </c>
      <c r="AI449" s="382">
        <f t="shared" si="468"/>
        <v>0</v>
      </c>
      <c r="AJ449" s="382">
        <f t="shared" si="468"/>
        <v>0</v>
      </c>
      <c r="AK449" s="382">
        <f t="shared" si="468"/>
        <v>0</v>
      </c>
      <c r="AL449" s="382">
        <f t="shared" si="468"/>
        <v>0</v>
      </c>
      <c r="AM449" s="382">
        <f t="shared" si="468"/>
        <v>0</v>
      </c>
      <c r="AN449" s="485">
        <f t="shared" si="468"/>
        <v>0</v>
      </c>
      <c r="AO449" s="382">
        <f t="shared" si="468"/>
        <v>0</v>
      </c>
      <c r="AP449" s="382">
        <f t="shared" si="468"/>
        <v>0</v>
      </c>
      <c r="AQ449" s="382">
        <f t="shared" si="468"/>
        <v>0</v>
      </c>
      <c r="AR449" s="382">
        <f t="shared" si="468"/>
        <v>0</v>
      </c>
      <c r="AS449" s="382">
        <f t="shared" si="468"/>
        <v>0</v>
      </c>
      <c r="AT449" s="382">
        <f t="shared" si="468"/>
        <v>0</v>
      </c>
      <c r="AU449" s="382">
        <f t="shared" si="468"/>
        <v>0</v>
      </c>
      <c r="AV449" s="382">
        <f t="shared" si="468"/>
        <v>0</v>
      </c>
      <c r="AW449" s="382">
        <f t="shared" si="468"/>
        <v>0</v>
      </c>
      <c r="AX449" s="382">
        <f t="shared" si="468"/>
        <v>0</v>
      </c>
      <c r="AY449" s="382">
        <f t="shared" si="468"/>
        <v>0</v>
      </c>
    </row>
    <row r="450" spans="1:51" x14ac:dyDescent="0.2">
      <c r="A450" s="376"/>
      <c r="B450" s="383" t="s">
        <v>306</v>
      </c>
      <c r="C450" s="376" t="s">
        <v>265</v>
      </c>
      <c r="D450" s="376"/>
      <c r="E450" s="488"/>
      <c r="F450" s="384"/>
      <c r="G450" s="385">
        <f t="shared" ref="G450:AY450" si="469">SUM(G407:G448)</f>
        <v>5904597</v>
      </c>
      <c r="H450" s="385">
        <f t="shared" si="469"/>
        <v>2183724</v>
      </c>
      <c r="I450" s="385">
        <f t="shared" si="469"/>
        <v>18821.09</v>
      </c>
      <c r="J450" s="385">
        <f t="shared" si="469"/>
        <v>0</v>
      </c>
      <c r="K450" s="385">
        <f t="shared" si="469"/>
        <v>2033610</v>
      </c>
      <c r="L450" s="385">
        <f t="shared" si="469"/>
        <v>0</v>
      </c>
      <c r="M450" s="385">
        <f t="shared" si="469"/>
        <v>2013964</v>
      </c>
      <c r="N450" s="385">
        <f t="shared" si="469"/>
        <v>1215045</v>
      </c>
      <c r="O450" s="385">
        <f t="shared" si="469"/>
        <v>114714</v>
      </c>
      <c r="P450" s="385">
        <f t="shared" si="469"/>
        <v>0</v>
      </c>
      <c r="Q450" s="385">
        <f t="shared" si="469"/>
        <v>0</v>
      </c>
      <c r="R450" s="385">
        <f t="shared" si="469"/>
        <v>0</v>
      </c>
      <c r="S450" s="385">
        <f t="shared" si="469"/>
        <v>0</v>
      </c>
      <c r="T450" s="385">
        <f t="shared" si="469"/>
        <v>0</v>
      </c>
      <c r="U450" s="385">
        <f t="shared" si="469"/>
        <v>0</v>
      </c>
      <c r="V450" s="385">
        <f t="shared" si="469"/>
        <v>0</v>
      </c>
      <c r="W450" s="385">
        <f t="shared" si="469"/>
        <v>0</v>
      </c>
      <c r="X450" s="385">
        <f t="shared" si="469"/>
        <v>0</v>
      </c>
      <c r="Y450" s="385">
        <f t="shared" si="469"/>
        <v>0</v>
      </c>
      <c r="Z450" s="385">
        <f t="shared" si="469"/>
        <v>0</v>
      </c>
      <c r="AA450" s="385">
        <f t="shared" si="469"/>
        <v>0</v>
      </c>
      <c r="AB450" s="385">
        <f t="shared" si="469"/>
        <v>0</v>
      </c>
      <c r="AC450" s="385">
        <f t="shared" si="469"/>
        <v>0</v>
      </c>
      <c r="AD450" s="385">
        <f t="shared" si="469"/>
        <v>0</v>
      </c>
      <c r="AE450" s="385">
        <f t="shared" si="469"/>
        <v>0</v>
      </c>
      <c r="AF450" s="385">
        <f t="shared" si="469"/>
        <v>0</v>
      </c>
      <c r="AG450" s="385">
        <f t="shared" si="469"/>
        <v>0</v>
      </c>
      <c r="AH450" s="385">
        <f t="shared" si="469"/>
        <v>0</v>
      </c>
      <c r="AI450" s="385">
        <f t="shared" si="469"/>
        <v>0</v>
      </c>
      <c r="AJ450" s="385">
        <f t="shared" si="469"/>
        <v>0</v>
      </c>
      <c r="AK450" s="385">
        <f t="shared" si="469"/>
        <v>0</v>
      </c>
      <c r="AL450" s="385">
        <f t="shared" si="469"/>
        <v>0</v>
      </c>
      <c r="AM450" s="385">
        <f t="shared" si="469"/>
        <v>0</v>
      </c>
      <c r="AN450" s="489">
        <f t="shared" si="469"/>
        <v>0</v>
      </c>
      <c r="AO450" s="385">
        <f t="shared" si="469"/>
        <v>0</v>
      </c>
      <c r="AP450" s="385">
        <f t="shared" si="469"/>
        <v>0</v>
      </c>
      <c r="AQ450" s="385">
        <f t="shared" si="469"/>
        <v>0</v>
      </c>
      <c r="AR450" s="385">
        <f t="shared" si="469"/>
        <v>0</v>
      </c>
      <c r="AS450" s="385">
        <f t="shared" si="469"/>
        <v>0</v>
      </c>
      <c r="AT450" s="385">
        <f t="shared" si="469"/>
        <v>0</v>
      </c>
      <c r="AU450" s="385">
        <f t="shared" si="469"/>
        <v>0</v>
      </c>
      <c r="AV450" s="385">
        <f t="shared" si="469"/>
        <v>0</v>
      </c>
      <c r="AW450" s="385">
        <f t="shared" si="469"/>
        <v>0</v>
      </c>
      <c r="AX450" s="385">
        <f t="shared" si="469"/>
        <v>0</v>
      </c>
      <c r="AY450" s="385">
        <f t="shared" si="469"/>
        <v>0</v>
      </c>
    </row>
    <row r="451" spans="1:51" x14ac:dyDescent="0.2">
      <c r="A451" s="376"/>
      <c r="B451" s="383"/>
      <c r="C451" s="376" t="s">
        <v>266</v>
      </c>
      <c r="D451" s="376"/>
      <c r="E451" s="488"/>
      <c r="F451" s="384"/>
      <c r="G451" s="379">
        <f t="shared" ref="G451:AY451" si="470">MIN(G407:G448)</f>
        <v>14843</v>
      </c>
      <c r="H451" s="379">
        <f t="shared" si="470"/>
        <v>4916</v>
      </c>
      <c r="I451" s="379">
        <f t="shared" si="470"/>
        <v>294</v>
      </c>
      <c r="J451" s="379">
        <f t="shared" si="470"/>
        <v>0</v>
      </c>
      <c r="K451" s="379">
        <f t="shared" si="470"/>
        <v>4402</v>
      </c>
      <c r="L451" s="379">
        <f t="shared" si="470"/>
        <v>0</v>
      </c>
      <c r="M451" s="379">
        <f t="shared" si="470"/>
        <v>4340</v>
      </c>
      <c r="N451" s="379">
        <f t="shared" si="470"/>
        <v>0</v>
      </c>
      <c r="O451" s="379">
        <f t="shared" si="470"/>
        <v>0</v>
      </c>
      <c r="P451" s="379">
        <f t="shared" si="470"/>
        <v>0</v>
      </c>
      <c r="Q451" s="379">
        <f t="shared" si="470"/>
        <v>0</v>
      </c>
      <c r="R451" s="379">
        <f t="shared" si="470"/>
        <v>0</v>
      </c>
      <c r="S451" s="379">
        <f t="shared" si="470"/>
        <v>0</v>
      </c>
      <c r="T451" s="379">
        <f t="shared" si="470"/>
        <v>0</v>
      </c>
      <c r="U451" s="379">
        <f t="shared" si="470"/>
        <v>0</v>
      </c>
      <c r="V451" s="379">
        <f t="shared" si="470"/>
        <v>0</v>
      </c>
      <c r="W451" s="379">
        <f t="shared" si="470"/>
        <v>0</v>
      </c>
      <c r="X451" s="379">
        <f t="shared" si="470"/>
        <v>0</v>
      </c>
      <c r="Y451" s="379">
        <f t="shared" si="470"/>
        <v>0</v>
      </c>
      <c r="Z451" s="379">
        <f t="shared" si="470"/>
        <v>0</v>
      </c>
      <c r="AA451" s="379">
        <f t="shared" si="470"/>
        <v>0</v>
      </c>
      <c r="AB451" s="379">
        <f t="shared" si="470"/>
        <v>0</v>
      </c>
      <c r="AC451" s="379">
        <f t="shared" si="470"/>
        <v>0</v>
      </c>
      <c r="AD451" s="379">
        <f t="shared" si="470"/>
        <v>0</v>
      </c>
      <c r="AE451" s="379">
        <f t="shared" si="470"/>
        <v>0</v>
      </c>
      <c r="AF451" s="379">
        <f t="shared" si="470"/>
        <v>0</v>
      </c>
      <c r="AG451" s="379">
        <f t="shared" si="470"/>
        <v>0</v>
      </c>
      <c r="AH451" s="379">
        <f t="shared" si="470"/>
        <v>0</v>
      </c>
      <c r="AI451" s="379">
        <f t="shared" si="470"/>
        <v>0</v>
      </c>
      <c r="AJ451" s="379">
        <f t="shared" si="470"/>
        <v>0</v>
      </c>
      <c r="AK451" s="379">
        <f t="shared" si="470"/>
        <v>0</v>
      </c>
      <c r="AL451" s="379">
        <f t="shared" si="470"/>
        <v>0</v>
      </c>
      <c r="AM451" s="379">
        <f t="shared" si="470"/>
        <v>0</v>
      </c>
      <c r="AN451" s="490">
        <f t="shared" si="470"/>
        <v>0</v>
      </c>
      <c r="AO451" s="379">
        <f t="shared" si="470"/>
        <v>0</v>
      </c>
      <c r="AP451" s="379">
        <f t="shared" si="470"/>
        <v>0</v>
      </c>
      <c r="AQ451" s="379">
        <f t="shared" si="470"/>
        <v>0</v>
      </c>
      <c r="AR451" s="379">
        <f t="shared" si="470"/>
        <v>0</v>
      </c>
      <c r="AS451" s="379">
        <f t="shared" si="470"/>
        <v>0</v>
      </c>
      <c r="AT451" s="379">
        <f t="shared" si="470"/>
        <v>0</v>
      </c>
      <c r="AU451" s="379">
        <f t="shared" si="470"/>
        <v>0</v>
      </c>
      <c r="AV451" s="379">
        <f t="shared" si="470"/>
        <v>0</v>
      </c>
      <c r="AW451" s="379">
        <f t="shared" si="470"/>
        <v>0</v>
      </c>
      <c r="AX451" s="379">
        <f t="shared" si="470"/>
        <v>0</v>
      </c>
      <c r="AY451" s="379">
        <f t="shared" si="470"/>
        <v>0</v>
      </c>
    </row>
    <row r="452" spans="1:51" x14ac:dyDescent="0.2">
      <c r="A452" s="376"/>
      <c r="B452" s="383"/>
      <c r="C452" s="376" t="s">
        <v>267</v>
      </c>
      <c r="D452" s="376"/>
      <c r="E452" s="488"/>
      <c r="F452" s="384"/>
      <c r="G452" s="379">
        <f t="shared" ref="G452:AY452" si="471">MAX(G407:G448)</f>
        <v>359671</v>
      </c>
      <c r="H452" s="379">
        <f t="shared" si="471"/>
        <v>130469</v>
      </c>
      <c r="I452" s="379">
        <f t="shared" si="471"/>
        <v>705</v>
      </c>
      <c r="J452" s="379">
        <f t="shared" si="471"/>
        <v>0</v>
      </c>
      <c r="K452" s="379">
        <f t="shared" si="471"/>
        <v>131869</v>
      </c>
      <c r="L452" s="379">
        <f t="shared" si="471"/>
        <v>0</v>
      </c>
      <c r="M452" s="379">
        <f t="shared" si="471"/>
        <v>132191</v>
      </c>
      <c r="N452" s="379">
        <f t="shared" si="471"/>
        <v>123590</v>
      </c>
      <c r="O452" s="379">
        <f t="shared" si="471"/>
        <v>56140</v>
      </c>
      <c r="P452" s="379">
        <f t="shared" si="471"/>
        <v>0</v>
      </c>
      <c r="Q452" s="379">
        <f t="shared" si="471"/>
        <v>0</v>
      </c>
      <c r="R452" s="379">
        <f t="shared" si="471"/>
        <v>0</v>
      </c>
      <c r="S452" s="379">
        <f t="shared" si="471"/>
        <v>0</v>
      </c>
      <c r="T452" s="379">
        <f t="shared" si="471"/>
        <v>0</v>
      </c>
      <c r="U452" s="379">
        <f t="shared" si="471"/>
        <v>0</v>
      </c>
      <c r="V452" s="379">
        <f t="shared" si="471"/>
        <v>0</v>
      </c>
      <c r="W452" s="379">
        <f t="shared" si="471"/>
        <v>0</v>
      </c>
      <c r="X452" s="379">
        <f t="shared" si="471"/>
        <v>0</v>
      </c>
      <c r="Y452" s="379">
        <f t="shared" si="471"/>
        <v>0</v>
      </c>
      <c r="Z452" s="379">
        <f t="shared" si="471"/>
        <v>0</v>
      </c>
      <c r="AA452" s="379">
        <f t="shared" si="471"/>
        <v>0</v>
      </c>
      <c r="AB452" s="379">
        <f t="shared" si="471"/>
        <v>0</v>
      </c>
      <c r="AC452" s="379">
        <f t="shared" si="471"/>
        <v>0</v>
      </c>
      <c r="AD452" s="379">
        <f t="shared" si="471"/>
        <v>0</v>
      </c>
      <c r="AE452" s="379">
        <f t="shared" si="471"/>
        <v>0</v>
      </c>
      <c r="AF452" s="379">
        <f t="shared" si="471"/>
        <v>0</v>
      </c>
      <c r="AG452" s="379">
        <f t="shared" si="471"/>
        <v>0</v>
      </c>
      <c r="AH452" s="379">
        <f t="shared" si="471"/>
        <v>0</v>
      </c>
      <c r="AI452" s="379">
        <f t="shared" si="471"/>
        <v>0</v>
      </c>
      <c r="AJ452" s="379">
        <f t="shared" si="471"/>
        <v>0</v>
      </c>
      <c r="AK452" s="379">
        <f t="shared" si="471"/>
        <v>0</v>
      </c>
      <c r="AL452" s="379">
        <f t="shared" si="471"/>
        <v>0</v>
      </c>
      <c r="AM452" s="379">
        <f t="shared" si="471"/>
        <v>0</v>
      </c>
      <c r="AN452" s="490">
        <f t="shared" si="471"/>
        <v>0</v>
      </c>
      <c r="AO452" s="379">
        <f t="shared" si="471"/>
        <v>0</v>
      </c>
      <c r="AP452" s="379">
        <f t="shared" si="471"/>
        <v>0</v>
      </c>
      <c r="AQ452" s="379">
        <f t="shared" si="471"/>
        <v>0</v>
      </c>
      <c r="AR452" s="379">
        <f t="shared" si="471"/>
        <v>0</v>
      </c>
      <c r="AS452" s="379">
        <f t="shared" si="471"/>
        <v>0</v>
      </c>
      <c r="AT452" s="379">
        <f t="shared" si="471"/>
        <v>0</v>
      </c>
      <c r="AU452" s="379">
        <f t="shared" si="471"/>
        <v>0</v>
      </c>
      <c r="AV452" s="379">
        <f t="shared" si="471"/>
        <v>0</v>
      </c>
      <c r="AW452" s="379">
        <f t="shared" si="471"/>
        <v>0</v>
      </c>
      <c r="AX452" s="379">
        <f t="shared" si="471"/>
        <v>0</v>
      </c>
      <c r="AY452" s="379">
        <f t="shared" si="471"/>
        <v>0</v>
      </c>
    </row>
    <row r="453" spans="1:51" x14ac:dyDescent="0.2">
      <c r="A453" s="376"/>
      <c r="B453" s="383"/>
      <c r="C453" s="376" t="s">
        <v>268</v>
      </c>
      <c r="D453" s="376"/>
      <c r="E453" s="488"/>
      <c r="F453" s="384"/>
      <c r="G453" s="379">
        <f t="shared" ref="G453:AY453" si="472">AVERAGE(G407:G448)</f>
        <v>140585.64285714287</v>
      </c>
      <c r="H453" s="379">
        <f t="shared" si="472"/>
        <v>51993.428571428572</v>
      </c>
      <c r="I453" s="379">
        <f t="shared" si="472"/>
        <v>448.12119047619046</v>
      </c>
      <c r="J453" s="379" t="e">
        <f t="shared" si="472"/>
        <v>#DIV/0!</v>
      </c>
      <c r="K453" s="379">
        <f t="shared" si="472"/>
        <v>48419.285714285717</v>
      </c>
      <c r="L453" s="379">
        <f t="shared" si="472"/>
        <v>0</v>
      </c>
      <c r="M453" s="379">
        <f t="shared" si="472"/>
        <v>47951.523809523809</v>
      </c>
      <c r="N453" s="379">
        <f t="shared" si="472"/>
        <v>28929.642857142859</v>
      </c>
      <c r="O453" s="379">
        <f t="shared" si="472"/>
        <v>2731.2857142857142</v>
      </c>
      <c r="P453" s="379">
        <f t="shared" si="472"/>
        <v>0</v>
      </c>
      <c r="Q453" s="379">
        <f t="shared" si="472"/>
        <v>0</v>
      </c>
      <c r="R453" s="379">
        <f t="shared" si="472"/>
        <v>0</v>
      </c>
      <c r="S453" s="379">
        <f t="shared" si="472"/>
        <v>0</v>
      </c>
      <c r="T453" s="379">
        <f t="shared" si="472"/>
        <v>0</v>
      </c>
      <c r="U453" s="379">
        <f t="shared" si="472"/>
        <v>0</v>
      </c>
      <c r="V453" s="379">
        <f t="shared" si="472"/>
        <v>0</v>
      </c>
      <c r="W453" s="379">
        <f t="shared" si="472"/>
        <v>0</v>
      </c>
      <c r="X453" s="379">
        <f t="shared" si="472"/>
        <v>0</v>
      </c>
      <c r="Y453" s="379">
        <f t="shared" si="472"/>
        <v>0</v>
      </c>
      <c r="Z453" s="379">
        <f t="shared" si="472"/>
        <v>0</v>
      </c>
      <c r="AA453" s="379">
        <f t="shared" si="472"/>
        <v>0</v>
      </c>
      <c r="AB453" s="379">
        <f t="shared" si="472"/>
        <v>0</v>
      </c>
      <c r="AC453" s="379">
        <f t="shared" si="472"/>
        <v>0</v>
      </c>
      <c r="AD453" s="379">
        <f t="shared" si="472"/>
        <v>0</v>
      </c>
      <c r="AE453" s="379">
        <f t="shared" si="472"/>
        <v>0</v>
      </c>
      <c r="AF453" s="379">
        <f t="shared" si="472"/>
        <v>0</v>
      </c>
      <c r="AG453" s="379">
        <f t="shared" si="472"/>
        <v>0</v>
      </c>
      <c r="AH453" s="379">
        <f t="shared" si="472"/>
        <v>0</v>
      </c>
      <c r="AI453" s="379">
        <f t="shared" si="472"/>
        <v>0</v>
      </c>
      <c r="AJ453" s="379">
        <f t="shared" si="472"/>
        <v>0</v>
      </c>
      <c r="AK453" s="379">
        <f t="shared" si="472"/>
        <v>0</v>
      </c>
      <c r="AL453" s="379">
        <f t="shared" si="472"/>
        <v>0</v>
      </c>
      <c r="AM453" s="379">
        <f t="shared" si="472"/>
        <v>0</v>
      </c>
      <c r="AN453" s="490">
        <f t="shared" si="472"/>
        <v>0</v>
      </c>
      <c r="AO453" s="379">
        <f t="shared" si="472"/>
        <v>0</v>
      </c>
      <c r="AP453" s="379">
        <f t="shared" si="472"/>
        <v>0</v>
      </c>
      <c r="AQ453" s="379">
        <f t="shared" si="472"/>
        <v>0</v>
      </c>
      <c r="AR453" s="379">
        <f t="shared" si="472"/>
        <v>0</v>
      </c>
      <c r="AS453" s="379">
        <f t="shared" si="472"/>
        <v>0</v>
      </c>
      <c r="AT453" s="379">
        <f t="shared" si="472"/>
        <v>0</v>
      </c>
      <c r="AU453" s="379">
        <f t="shared" si="472"/>
        <v>0</v>
      </c>
      <c r="AV453" s="379">
        <f t="shared" si="472"/>
        <v>0</v>
      </c>
      <c r="AW453" s="379">
        <f t="shared" si="472"/>
        <v>0</v>
      </c>
      <c r="AX453" s="379">
        <f t="shared" si="472"/>
        <v>0</v>
      </c>
      <c r="AY453" s="379">
        <f t="shared" si="472"/>
        <v>0</v>
      </c>
    </row>
    <row r="454" spans="1:51" ht="13.5" thickBot="1" x14ac:dyDescent="0.25">
      <c r="A454" s="386"/>
      <c r="B454" s="387"/>
      <c r="C454" s="386" t="s">
        <v>269</v>
      </c>
      <c r="D454" s="386"/>
      <c r="E454" s="491"/>
      <c r="F454" s="384"/>
      <c r="G454" s="388">
        <f t="shared" ref="G454:AY454" si="473">MEDIAN(G407:G448)</f>
        <v>135793.5</v>
      </c>
      <c r="H454" s="388">
        <f t="shared" si="473"/>
        <v>49313.5</v>
      </c>
      <c r="I454" s="388">
        <f t="shared" si="473"/>
        <v>441.5</v>
      </c>
      <c r="J454" s="388" t="e">
        <f t="shared" si="473"/>
        <v>#NUM!</v>
      </c>
      <c r="K454" s="388">
        <f t="shared" si="473"/>
        <v>42400.5</v>
      </c>
      <c r="L454" s="388">
        <f t="shared" si="473"/>
        <v>0</v>
      </c>
      <c r="M454" s="388">
        <f t="shared" si="473"/>
        <v>42205.5</v>
      </c>
      <c r="N454" s="388">
        <f t="shared" si="473"/>
        <v>18899</v>
      </c>
      <c r="O454" s="388">
        <f t="shared" si="473"/>
        <v>0</v>
      </c>
      <c r="P454" s="388">
        <f t="shared" si="473"/>
        <v>0</v>
      </c>
      <c r="Q454" s="388">
        <f t="shared" si="473"/>
        <v>0</v>
      </c>
      <c r="R454" s="388">
        <f t="shared" si="473"/>
        <v>0</v>
      </c>
      <c r="S454" s="388">
        <f t="shared" si="473"/>
        <v>0</v>
      </c>
      <c r="T454" s="388">
        <f t="shared" si="473"/>
        <v>0</v>
      </c>
      <c r="U454" s="388">
        <f t="shared" si="473"/>
        <v>0</v>
      </c>
      <c r="V454" s="388">
        <f t="shared" si="473"/>
        <v>0</v>
      </c>
      <c r="W454" s="388">
        <f t="shared" si="473"/>
        <v>0</v>
      </c>
      <c r="X454" s="388">
        <f t="shared" si="473"/>
        <v>0</v>
      </c>
      <c r="Y454" s="388">
        <f t="shared" si="473"/>
        <v>0</v>
      </c>
      <c r="Z454" s="388">
        <f t="shared" si="473"/>
        <v>0</v>
      </c>
      <c r="AA454" s="388">
        <f t="shared" si="473"/>
        <v>0</v>
      </c>
      <c r="AB454" s="388">
        <f t="shared" si="473"/>
        <v>0</v>
      </c>
      <c r="AC454" s="388">
        <f t="shared" si="473"/>
        <v>0</v>
      </c>
      <c r="AD454" s="388">
        <f t="shared" si="473"/>
        <v>0</v>
      </c>
      <c r="AE454" s="388">
        <f t="shared" si="473"/>
        <v>0</v>
      </c>
      <c r="AF454" s="388">
        <f t="shared" si="473"/>
        <v>0</v>
      </c>
      <c r="AG454" s="388">
        <f t="shared" si="473"/>
        <v>0</v>
      </c>
      <c r="AH454" s="388">
        <f t="shared" si="473"/>
        <v>0</v>
      </c>
      <c r="AI454" s="388">
        <f t="shared" si="473"/>
        <v>0</v>
      </c>
      <c r="AJ454" s="388">
        <f t="shared" si="473"/>
        <v>0</v>
      </c>
      <c r="AK454" s="388">
        <f t="shared" si="473"/>
        <v>0</v>
      </c>
      <c r="AL454" s="388">
        <f t="shared" si="473"/>
        <v>0</v>
      </c>
      <c r="AM454" s="388">
        <f t="shared" si="473"/>
        <v>0</v>
      </c>
      <c r="AN454" s="492">
        <f t="shared" si="473"/>
        <v>0</v>
      </c>
      <c r="AO454" s="388">
        <f t="shared" si="473"/>
        <v>0</v>
      </c>
      <c r="AP454" s="388">
        <f t="shared" si="473"/>
        <v>0</v>
      </c>
      <c r="AQ454" s="388">
        <f t="shared" si="473"/>
        <v>0</v>
      </c>
      <c r="AR454" s="388">
        <f t="shared" si="473"/>
        <v>0</v>
      </c>
      <c r="AS454" s="388">
        <f t="shared" si="473"/>
        <v>0</v>
      </c>
      <c r="AT454" s="388">
        <f t="shared" si="473"/>
        <v>0</v>
      </c>
      <c r="AU454" s="388">
        <f t="shared" si="473"/>
        <v>0</v>
      </c>
      <c r="AV454" s="388">
        <f t="shared" si="473"/>
        <v>0</v>
      </c>
      <c r="AW454" s="388">
        <f t="shared" si="473"/>
        <v>0</v>
      </c>
      <c r="AX454" s="388">
        <f t="shared" si="473"/>
        <v>0</v>
      </c>
      <c r="AY454" s="388">
        <f t="shared" si="473"/>
        <v>0</v>
      </c>
    </row>
    <row r="455" spans="1:51" ht="13.5" thickTop="1" x14ac:dyDescent="0.2">
      <c r="B455" s="493" t="s">
        <v>261</v>
      </c>
      <c r="G455"/>
      <c r="H455"/>
      <c r="I455"/>
      <c r="J455"/>
      <c r="K455"/>
      <c r="L455" s="278"/>
    </row>
    <row r="456" spans="1:51" x14ac:dyDescent="0.2">
      <c r="A456" s="493"/>
      <c r="B456" s="392" t="s">
        <v>18</v>
      </c>
      <c r="C456" s="508"/>
      <c r="D456" s="370"/>
      <c r="E456" s="368"/>
      <c r="F456" s="368"/>
      <c r="G456" s="379">
        <f t="shared" ref="G456:AY456" si="474">G175</f>
        <v>4474485</v>
      </c>
      <c r="H456" s="379">
        <f t="shared" si="474"/>
        <v>1611156</v>
      </c>
      <c r="I456" s="379">
        <f t="shared" si="474"/>
        <v>13507.439999999999</v>
      </c>
      <c r="J456" s="379">
        <f t="shared" si="474"/>
        <v>0</v>
      </c>
      <c r="K456" s="379">
        <f t="shared" si="474"/>
        <v>1468062</v>
      </c>
      <c r="L456" s="379">
        <f t="shared" si="474"/>
        <v>0</v>
      </c>
      <c r="M456" s="379">
        <f t="shared" si="474"/>
        <v>1446961</v>
      </c>
      <c r="N456" s="379">
        <f t="shared" si="474"/>
        <v>787507</v>
      </c>
      <c r="O456" s="379">
        <f t="shared" si="474"/>
        <v>81513</v>
      </c>
      <c r="P456" s="379">
        <f t="shared" si="474"/>
        <v>0</v>
      </c>
      <c r="Q456" s="379">
        <f t="shared" si="474"/>
        <v>0</v>
      </c>
      <c r="R456" s="379">
        <f t="shared" si="474"/>
        <v>0</v>
      </c>
      <c r="S456" s="379">
        <f t="shared" si="474"/>
        <v>0</v>
      </c>
      <c r="T456" s="379">
        <f t="shared" si="474"/>
        <v>0</v>
      </c>
      <c r="U456" s="379">
        <f t="shared" si="474"/>
        <v>0</v>
      </c>
      <c r="V456" s="379">
        <f t="shared" si="474"/>
        <v>0</v>
      </c>
      <c r="W456" s="379">
        <f t="shared" si="474"/>
        <v>0</v>
      </c>
      <c r="X456" s="379">
        <f t="shared" si="474"/>
        <v>0</v>
      </c>
      <c r="Y456" s="379">
        <f t="shared" si="474"/>
        <v>0</v>
      </c>
      <c r="Z456" s="379">
        <f t="shared" si="474"/>
        <v>0</v>
      </c>
      <c r="AA456" s="379">
        <f t="shared" si="474"/>
        <v>0</v>
      </c>
      <c r="AB456" s="379">
        <f t="shared" si="474"/>
        <v>0</v>
      </c>
      <c r="AC456" s="379">
        <f t="shared" si="474"/>
        <v>0</v>
      </c>
      <c r="AD456" s="379">
        <f t="shared" si="474"/>
        <v>0</v>
      </c>
      <c r="AE456" s="379">
        <f t="shared" si="474"/>
        <v>0</v>
      </c>
      <c r="AF456" s="379">
        <f t="shared" si="474"/>
        <v>0</v>
      </c>
      <c r="AG456" s="379">
        <f t="shared" si="474"/>
        <v>0</v>
      </c>
      <c r="AH456" s="379">
        <f t="shared" si="474"/>
        <v>0</v>
      </c>
      <c r="AI456" s="379">
        <f t="shared" si="474"/>
        <v>0</v>
      </c>
      <c r="AJ456" s="379">
        <f t="shared" si="474"/>
        <v>0</v>
      </c>
      <c r="AK456" s="379">
        <f t="shared" si="474"/>
        <v>0</v>
      </c>
      <c r="AL456" s="379">
        <f t="shared" si="474"/>
        <v>0</v>
      </c>
      <c r="AM456" s="379">
        <f t="shared" si="474"/>
        <v>0</v>
      </c>
      <c r="AN456" s="490">
        <f t="shared" si="474"/>
        <v>0</v>
      </c>
      <c r="AO456" s="379">
        <f t="shared" si="474"/>
        <v>0</v>
      </c>
      <c r="AP456" s="379">
        <f t="shared" si="474"/>
        <v>0</v>
      </c>
      <c r="AQ456" s="379">
        <f t="shared" si="474"/>
        <v>0</v>
      </c>
      <c r="AR456" s="379">
        <f t="shared" si="474"/>
        <v>0</v>
      </c>
      <c r="AS456" s="379">
        <f t="shared" si="474"/>
        <v>0</v>
      </c>
      <c r="AT456" s="379">
        <f t="shared" si="474"/>
        <v>0</v>
      </c>
      <c r="AU456" s="379">
        <f t="shared" si="474"/>
        <v>0</v>
      </c>
      <c r="AV456" s="379">
        <f t="shared" si="474"/>
        <v>0</v>
      </c>
      <c r="AW456" s="379">
        <f t="shared" si="474"/>
        <v>0</v>
      </c>
      <c r="AX456" s="379">
        <f t="shared" si="474"/>
        <v>0</v>
      </c>
      <c r="AY456" s="379">
        <f t="shared" si="474"/>
        <v>0</v>
      </c>
    </row>
    <row r="457" spans="1:51" x14ac:dyDescent="0.2">
      <c r="A457" s="493"/>
      <c r="B457" s="392" t="s">
        <v>19</v>
      </c>
      <c r="C457" s="508"/>
      <c r="D457" s="370"/>
      <c r="E457" s="368"/>
      <c r="F457" s="368"/>
      <c r="G457" s="379">
        <f t="shared" ref="G457:AY457" si="475">G197</f>
        <v>1430112</v>
      </c>
      <c r="H457" s="379">
        <f t="shared" si="475"/>
        <v>572568</v>
      </c>
      <c r="I457" s="379">
        <f t="shared" si="475"/>
        <v>5313.65</v>
      </c>
      <c r="J457" s="379">
        <f t="shared" si="475"/>
        <v>0</v>
      </c>
      <c r="K457" s="379">
        <f t="shared" si="475"/>
        <v>565548</v>
      </c>
      <c r="L457" s="379">
        <f t="shared" si="475"/>
        <v>0</v>
      </c>
      <c r="M457" s="379">
        <f t="shared" si="475"/>
        <v>567003</v>
      </c>
      <c r="N457" s="379">
        <f t="shared" si="475"/>
        <v>427538</v>
      </c>
      <c r="O457" s="379">
        <f t="shared" si="475"/>
        <v>33201</v>
      </c>
      <c r="P457" s="379">
        <f t="shared" si="475"/>
        <v>0</v>
      </c>
      <c r="Q457" s="379">
        <f t="shared" si="475"/>
        <v>0</v>
      </c>
      <c r="R457" s="379">
        <f t="shared" si="475"/>
        <v>0</v>
      </c>
      <c r="S457" s="379">
        <f t="shared" si="475"/>
        <v>0</v>
      </c>
      <c r="T457" s="379">
        <f t="shared" si="475"/>
        <v>0</v>
      </c>
      <c r="U457" s="379">
        <f t="shared" si="475"/>
        <v>0</v>
      </c>
      <c r="V457" s="379">
        <f t="shared" si="475"/>
        <v>0</v>
      </c>
      <c r="W457" s="379">
        <f t="shared" si="475"/>
        <v>0</v>
      </c>
      <c r="X457" s="379">
        <f t="shared" si="475"/>
        <v>0</v>
      </c>
      <c r="Y457" s="379">
        <f t="shared" si="475"/>
        <v>0</v>
      </c>
      <c r="Z457" s="379">
        <f t="shared" si="475"/>
        <v>0</v>
      </c>
      <c r="AA457" s="379">
        <f t="shared" si="475"/>
        <v>0</v>
      </c>
      <c r="AB457" s="379">
        <f t="shared" si="475"/>
        <v>0</v>
      </c>
      <c r="AC457" s="379">
        <f t="shared" si="475"/>
        <v>0</v>
      </c>
      <c r="AD457" s="379">
        <f t="shared" si="475"/>
        <v>0</v>
      </c>
      <c r="AE457" s="379">
        <f t="shared" si="475"/>
        <v>0</v>
      </c>
      <c r="AF457" s="379">
        <f t="shared" si="475"/>
        <v>0</v>
      </c>
      <c r="AG457" s="379">
        <f t="shared" si="475"/>
        <v>0</v>
      </c>
      <c r="AH457" s="379">
        <f t="shared" si="475"/>
        <v>0</v>
      </c>
      <c r="AI457" s="379">
        <f t="shared" si="475"/>
        <v>0</v>
      </c>
      <c r="AJ457" s="379">
        <f t="shared" si="475"/>
        <v>0</v>
      </c>
      <c r="AK457" s="379">
        <f t="shared" si="475"/>
        <v>0</v>
      </c>
      <c r="AL457" s="379">
        <f t="shared" si="475"/>
        <v>0</v>
      </c>
      <c r="AM457" s="379">
        <f t="shared" si="475"/>
        <v>0</v>
      </c>
      <c r="AN457" s="490">
        <f t="shared" si="475"/>
        <v>0</v>
      </c>
      <c r="AO457" s="379">
        <f t="shared" si="475"/>
        <v>0</v>
      </c>
      <c r="AP457" s="379">
        <f t="shared" si="475"/>
        <v>0</v>
      </c>
      <c r="AQ457" s="379">
        <f t="shared" si="475"/>
        <v>0</v>
      </c>
      <c r="AR457" s="379">
        <f t="shared" si="475"/>
        <v>0</v>
      </c>
      <c r="AS457" s="379">
        <f t="shared" si="475"/>
        <v>0</v>
      </c>
      <c r="AT457" s="379">
        <f t="shared" si="475"/>
        <v>0</v>
      </c>
      <c r="AU457" s="379">
        <f t="shared" si="475"/>
        <v>0</v>
      </c>
      <c r="AV457" s="379">
        <f t="shared" si="475"/>
        <v>0</v>
      </c>
      <c r="AW457" s="379">
        <f t="shared" si="475"/>
        <v>0</v>
      </c>
      <c r="AX457" s="379">
        <f t="shared" si="475"/>
        <v>0</v>
      </c>
      <c r="AY457" s="379">
        <f t="shared" si="475"/>
        <v>0</v>
      </c>
    </row>
    <row r="458" spans="1:51" x14ac:dyDescent="0.2">
      <c r="A458" s="493"/>
      <c r="B458" s="393" t="s">
        <v>20</v>
      </c>
      <c r="C458" s="509"/>
      <c r="D458" s="370"/>
      <c r="E458" s="368"/>
      <c r="F458" s="368"/>
      <c r="G458" s="379">
        <f t="shared" ref="G458:AY458" si="476">G226</f>
        <v>800741</v>
      </c>
      <c r="H458" s="379">
        <f t="shared" si="476"/>
        <v>357435</v>
      </c>
      <c r="I458" s="379">
        <f t="shared" si="476"/>
        <v>8196.130000000001</v>
      </c>
      <c r="J458" s="379">
        <f t="shared" si="476"/>
        <v>0</v>
      </c>
      <c r="K458" s="379">
        <f t="shared" si="476"/>
        <v>315143</v>
      </c>
      <c r="L458" s="379">
        <f t="shared" si="476"/>
        <v>0</v>
      </c>
      <c r="M458" s="379">
        <f t="shared" si="476"/>
        <v>312711</v>
      </c>
      <c r="N458" s="379">
        <f t="shared" si="476"/>
        <v>112993</v>
      </c>
      <c r="O458" s="379">
        <f t="shared" si="476"/>
        <v>143300</v>
      </c>
      <c r="P458" s="379">
        <f t="shared" si="476"/>
        <v>0</v>
      </c>
      <c r="Q458" s="379">
        <f t="shared" si="476"/>
        <v>0</v>
      </c>
      <c r="R458" s="379">
        <f t="shared" si="476"/>
        <v>0</v>
      </c>
      <c r="S458" s="379">
        <f t="shared" si="476"/>
        <v>0</v>
      </c>
      <c r="T458" s="379">
        <f t="shared" si="476"/>
        <v>0</v>
      </c>
      <c r="U458" s="379">
        <f t="shared" si="476"/>
        <v>0</v>
      </c>
      <c r="V458" s="379">
        <f t="shared" si="476"/>
        <v>0</v>
      </c>
      <c r="W458" s="379">
        <f t="shared" si="476"/>
        <v>0</v>
      </c>
      <c r="X458" s="379">
        <f t="shared" si="476"/>
        <v>0</v>
      </c>
      <c r="Y458" s="379">
        <f t="shared" si="476"/>
        <v>0</v>
      </c>
      <c r="Z458" s="379">
        <f t="shared" si="476"/>
        <v>0</v>
      </c>
      <c r="AA458" s="379">
        <f t="shared" si="476"/>
        <v>0</v>
      </c>
      <c r="AB458" s="379">
        <f t="shared" si="476"/>
        <v>0</v>
      </c>
      <c r="AC458" s="379">
        <f t="shared" si="476"/>
        <v>0</v>
      </c>
      <c r="AD458" s="379">
        <f t="shared" si="476"/>
        <v>0</v>
      </c>
      <c r="AE458" s="379">
        <f t="shared" si="476"/>
        <v>0</v>
      </c>
      <c r="AF458" s="379">
        <f t="shared" si="476"/>
        <v>0</v>
      </c>
      <c r="AG458" s="379">
        <f t="shared" si="476"/>
        <v>0</v>
      </c>
      <c r="AH458" s="379">
        <f t="shared" si="476"/>
        <v>0</v>
      </c>
      <c r="AI458" s="379">
        <f t="shared" si="476"/>
        <v>0</v>
      </c>
      <c r="AJ458" s="379">
        <f t="shared" si="476"/>
        <v>0</v>
      </c>
      <c r="AK458" s="379">
        <f t="shared" si="476"/>
        <v>0</v>
      </c>
      <c r="AL458" s="379">
        <f t="shared" si="476"/>
        <v>0</v>
      </c>
      <c r="AM458" s="379">
        <f t="shared" si="476"/>
        <v>0</v>
      </c>
      <c r="AN458" s="490">
        <f t="shared" si="476"/>
        <v>0</v>
      </c>
      <c r="AO458" s="379">
        <f t="shared" si="476"/>
        <v>0</v>
      </c>
      <c r="AP458" s="379">
        <f t="shared" si="476"/>
        <v>0</v>
      </c>
      <c r="AQ458" s="379">
        <f t="shared" si="476"/>
        <v>0</v>
      </c>
      <c r="AR458" s="379">
        <f t="shared" si="476"/>
        <v>0</v>
      </c>
      <c r="AS458" s="379">
        <f t="shared" si="476"/>
        <v>0</v>
      </c>
      <c r="AT458" s="379">
        <f t="shared" si="476"/>
        <v>0</v>
      </c>
      <c r="AU458" s="379">
        <f t="shared" si="476"/>
        <v>0</v>
      </c>
      <c r="AV458" s="379">
        <f t="shared" si="476"/>
        <v>0</v>
      </c>
      <c r="AW458" s="379">
        <f t="shared" si="476"/>
        <v>0</v>
      </c>
      <c r="AX458" s="379">
        <f t="shared" si="476"/>
        <v>0</v>
      </c>
      <c r="AY458" s="379">
        <f t="shared" si="476"/>
        <v>0</v>
      </c>
    </row>
    <row r="459" spans="1:51" x14ac:dyDescent="0.2">
      <c r="A459" s="493"/>
      <c r="B459" s="510" t="s">
        <v>305</v>
      </c>
      <c r="C459" s="509"/>
      <c r="D459" s="370"/>
      <c r="E459" s="368"/>
      <c r="F459" s="368"/>
      <c r="G459" s="379">
        <f t="shared" ref="G459:AY459" si="477">G303</f>
        <v>1020502</v>
      </c>
      <c r="H459" s="379">
        <f t="shared" si="477"/>
        <v>455452</v>
      </c>
      <c r="I459" s="379">
        <f t="shared" si="477"/>
        <v>21296.519999999997</v>
      </c>
      <c r="J459" s="379">
        <f t="shared" si="477"/>
        <v>0</v>
      </c>
      <c r="K459" s="379">
        <f t="shared" si="477"/>
        <v>386452</v>
      </c>
      <c r="L459" s="379">
        <f t="shared" si="477"/>
        <v>0</v>
      </c>
      <c r="M459" s="379">
        <f t="shared" si="477"/>
        <v>344867</v>
      </c>
      <c r="N459" s="379">
        <f t="shared" si="477"/>
        <v>105740</v>
      </c>
      <c r="O459" s="379">
        <f t="shared" si="477"/>
        <v>103395</v>
      </c>
      <c r="P459" s="379">
        <f t="shared" si="477"/>
        <v>0</v>
      </c>
      <c r="Q459" s="379">
        <f t="shared" si="477"/>
        <v>0</v>
      </c>
      <c r="R459" s="379">
        <f t="shared" si="477"/>
        <v>0</v>
      </c>
      <c r="S459" s="379">
        <f t="shared" si="477"/>
        <v>0</v>
      </c>
      <c r="T459" s="379">
        <f t="shared" si="477"/>
        <v>0</v>
      </c>
      <c r="U459" s="379">
        <f t="shared" si="477"/>
        <v>0</v>
      </c>
      <c r="V459" s="379">
        <f t="shared" si="477"/>
        <v>0</v>
      </c>
      <c r="W459" s="379">
        <f t="shared" si="477"/>
        <v>0</v>
      </c>
      <c r="X459" s="379">
        <f t="shared" si="477"/>
        <v>0</v>
      </c>
      <c r="Y459" s="379">
        <f t="shared" si="477"/>
        <v>0</v>
      </c>
      <c r="Z459" s="379">
        <f t="shared" si="477"/>
        <v>0</v>
      </c>
      <c r="AA459" s="379">
        <f t="shared" si="477"/>
        <v>0</v>
      </c>
      <c r="AB459" s="379">
        <f t="shared" si="477"/>
        <v>0</v>
      </c>
      <c r="AC459" s="379">
        <f t="shared" si="477"/>
        <v>0</v>
      </c>
      <c r="AD459" s="379">
        <f t="shared" si="477"/>
        <v>0</v>
      </c>
      <c r="AE459" s="379">
        <f t="shared" si="477"/>
        <v>0</v>
      </c>
      <c r="AF459" s="379">
        <f t="shared" si="477"/>
        <v>0</v>
      </c>
      <c r="AG459" s="379">
        <f t="shared" si="477"/>
        <v>0</v>
      </c>
      <c r="AH459" s="379">
        <f t="shared" si="477"/>
        <v>0</v>
      </c>
      <c r="AI459" s="379">
        <f t="shared" si="477"/>
        <v>0</v>
      </c>
      <c r="AJ459" s="379">
        <f t="shared" si="477"/>
        <v>0</v>
      </c>
      <c r="AK459" s="379">
        <f t="shared" si="477"/>
        <v>0</v>
      </c>
      <c r="AL459" s="379">
        <f t="shared" si="477"/>
        <v>0</v>
      </c>
      <c r="AM459" s="379">
        <f t="shared" si="477"/>
        <v>0</v>
      </c>
      <c r="AN459" s="490">
        <f t="shared" si="477"/>
        <v>0</v>
      </c>
      <c r="AO459" s="379">
        <f t="shared" si="477"/>
        <v>0</v>
      </c>
      <c r="AP459" s="379">
        <f t="shared" si="477"/>
        <v>0</v>
      </c>
      <c r="AQ459" s="379">
        <f t="shared" si="477"/>
        <v>0</v>
      </c>
      <c r="AR459" s="379">
        <f t="shared" si="477"/>
        <v>0</v>
      </c>
      <c r="AS459" s="379">
        <f t="shared" si="477"/>
        <v>0</v>
      </c>
      <c r="AT459" s="379">
        <f t="shared" si="477"/>
        <v>0</v>
      </c>
      <c r="AU459" s="379">
        <f t="shared" si="477"/>
        <v>0</v>
      </c>
      <c r="AV459" s="379">
        <f t="shared" si="477"/>
        <v>0</v>
      </c>
      <c r="AW459" s="379">
        <f t="shared" si="477"/>
        <v>0</v>
      </c>
      <c r="AX459" s="379">
        <f t="shared" si="477"/>
        <v>0</v>
      </c>
      <c r="AY459" s="379">
        <f t="shared" si="477"/>
        <v>0</v>
      </c>
    </row>
    <row r="460" spans="1:51" x14ac:dyDescent="0.2">
      <c r="A460" s="493"/>
      <c r="B460" s="393" t="s">
        <v>262</v>
      </c>
      <c r="C460" s="509"/>
      <c r="D460" s="370"/>
      <c r="E460" s="368"/>
      <c r="F460" s="368"/>
      <c r="G460" s="379">
        <f t="shared" ref="G460:AY460" si="478">G398</f>
        <v>1821243</v>
      </c>
      <c r="H460" s="379">
        <f t="shared" si="478"/>
        <v>812887</v>
      </c>
      <c r="I460" s="379">
        <f t="shared" si="478"/>
        <v>29492.649999999998</v>
      </c>
      <c r="J460" s="379">
        <f t="shared" si="478"/>
        <v>0</v>
      </c>
      <c r="K460" s="379">
        <f t="shared" si="478"/>
        <v>701595</v>
      </c>
      <c r="L460" s="379">
        <f t="shared" si="478"/>
        <v>0</v>
      </c>
      <c r="M460" s="379">
        <f t="shared" si="478"/>
        <v>657578</v>
      </c>
      <c r="N460" s="379">
        <f t="shared" si="478"/>
        <v>218733</v>
      </c>
      <c r="O460" s="379">
        <f t="shared" si="478"/>
        <v>246695</v>
      </c>
      <c r="P460" s="379">
        <f t="shared" si="478"/>
        <v>0</v>
      </c>
      <c r="Q460" s="379">
        <f t="shared" si="478"/>
        <v>0</v>
      </c>
      <c r="R460" s="379">
        <f t="shared" si="478"/>
        <v>0</v>
      </c>
      <c r="S460" s="379">
        <f t="shared" si="478"/>
        <v>0</v>
      </c>
      <c r="T460" s="379">
        <f t="shared" si="478"/>
        <v>0</v>
      </c>
      <c r="U460" s="379">
        <f t="shared" si="478"/>
        <v>0</v>
      </c>
      <c r="V460" s="379">
        <f t="shared" si="478"/>
        <v>0</v>
      </c>
      <c r="W460" s="379">
        <f t="shared" si="478"/>
        <v>0</v>
      </c>
      <c r="X460" s="379">
        <f t="shared" si="478"/>
        <v>0</v>
      </c>
      <c r="Y460" s="379">
        <f t="shared" si="478"/>
        <v>0</v>
      </c>
      <c r="Z460" s="379">
        <f t="shared" si="478"/>
        <v>0</v>
      </c>
      <c r="AA460" s="379">
        <f t="shared" si="478"/>
        <v>0</v>
      </c>
      <c r="AB460" s="379">
        <f t="shared" si="478"/>
        <v>0</v>
      </c>
      <c r="AC460" s="379">
        <f t="shared" si="478"/>
        <v>0</v>
      </c>
      <c r="AD460" s="379">
        <f t="shared" si="478"/>
        <v>0</v>
      </c>
      <c r="AE460" s="379">
        <f t="shared" si="478"/>
        <v>0</v>
      </c>
      <c r="AF460" s="379">
        <f t="shared" si="478"/>
        <v>0</v>
      </c>
      <c r="AG460" s="379">
        <f t="shared" si="478"/>
        <v>0</v>
      </c>
      <c r="AH460" s="379">
        <f t="shared" si="478"/>
        <v>0</v>
      </c>
      <c r="AI460" s="379">
        <f t="shared" si="478"/>
        <v>0</v>
      </c>
      <c r="AJ460" s="379">
        <f t="shared" si="478"/>
        <v>0</v>
      </c>
      <c r="AK460" s="379">
        <f t="shared" si="478"/>
        <v>0</v>
      </c>
      <c r="AL460" s="379">
        <f t="shared" si="478"/>
        <v>0</v>
      </c>
      <c r="AM460" s="379">
        <f t="shared" si="478"/>
        <v>0</v>
      </c>
      <c r="AN460" s="490">
        <f t="shared" si="478"/>
        <v>0</v>
      </c>
      <c r="AO460" s="379">
        <f t="shared" si="478"/>
        <v>0</v>
      </c>
      <c r="AP460" s="379">
        <f t="shared" si="478"/>
        <v>0</v>
      </c>
      <c r="AQ460" s="379">
        <f t="shared" si="478"/>
        <v>0</v>
      </c>
      <c r="AR460" s="379">
        <f t="shared" si="478"/>
        <v>0</v>
      </c>
      <c r="AS460" s="379">
        <f t="shared" si="478"/>
        <v>0</v>
      </c>
      <c r="AT460" s="379">
        <f t="shared" si="478"/>
        <v>0</v>
      </c>
      <c r="AU460" s="379">
        <f t="shared" si="478"/>
        <v>0</v>
      </c>
      <c r="AV460" s="379">
        <f t="shared" si="478"/>
        <v>0</v>
      </c>
      <c r="AW460" s="379">
        <f t="shared" si="478"/>
        <v>0</v>
      </c>
      <c r="AX460" s="379">
        <f t="shared" si="478"/>
        <v>0</v>
      </c>
      <c r="AY460" s="379">
        <f t="shared" si="478"/>
        <v>0</v>
      </c>
    </row>
    <row r="461" spans="1:51" x14ac:dyDescent="0.2">
      <c r="A461" s="493"/>
      <c r="B461" s="393" t="s">
        <v>306</v>
      </c>
      <c r="C461" s="509"/>
      <c r="D461" s="370"/>
      <c r="E461" s="368"/>
      <c r="F461" s="368"/>
      <c r="G461" s="379">
        <f t="shared" ref="G461:AY461" si="479">G450</f>
        <v>5904597</v>
      </c>
      <c r="H461" s="379">
        <f t="shared" si="479"/>
        <v>2183724</v>
      </c>
      <c r="I461" s="379">
        <f t="shared" si="479"/>
        <v>18821.09</v>
      </c>
      <c r="J461" s="379">
        <f t="shared" si="479"/>
        <v>0</v>
      </c>
      <c r="K461" s="379">
        <f t="shared" si="479"/>
        <v>2033610</v>
      </c>
      <c r="L461" s="379">
        <f t="shared" si="479"/>
        <v>0</v>
      </c>
      <c r="M461" s="379">
        <f t="shared" si="479"/>
        <v>2013964</v>
      </c>
      <c r="N461" s="379">
        <f t="shared" si="479"/>
        <v>1215045</v>
      </c>
      <c r="O461" s="379">
        <f t="shared" si="479"/>
        <v>114714</v>
      </c>
      <c r="P461" s="379">
        <f t="shared" si="479"/>
        <v>0</v>
      </c>
      <c r="Q461" s="379">
        <f t="shared" si="479"/>
        <v>0</v>
      </c>
      <c r="R461" s="379">
        <f t="shared" si="479"/>
        <v>0</v>
      </c>
      <c r="S461" s="379">
        <f t="shared" si="479"/>
        <v>0</v>
      </c>
      <c r="T461" s="379">
        <f t="shared" si="479"/>
        <v>0</v>
      </c>
      <c r="U461" s="379">
        <f t="shared" si="479"/>
        <v>0</v>
      </c>
      <c r="V461" s="379">
        <f t="shared" si="479"/>
        <v>0</v>
      </c>
      <c r="W461" s="379">
        <f t="shared" si="479"/>
        <v>0</v>
      </c>
      <c r="X461" s="379">
        <f t="shared" si="479"/>
        <v>0</v>
      </c>
      <c r="Y461" s="379">
        <f t="shared" si="479"/>
        <v>0</v>
      </c>
      <c r="Z461" s="379">
        <f t="shared" si="479"/>
        <v>0</v>
      </c>
      <c r="AA461" s="379">
        <f t="shared" si="479"/>
        <v>0</v>
      </c>
      <c r="AB461" s="379">
        <f t="shared" si="479"/>
        <v>0</v>
      </c>
      <c r="AC461" s="379">
        <f t="shared" si="479"/>
        <v>0</v>
      </c>
      <c r="AD461" s="379">
        <f t="shared" si="479"/>
        <v>0</v>
      </c>
      <c r="AE461" s="379">
        <f t="shared" si="479"/>
        <v>0</v>
      </c>
      <c r="AF461" s="379">
        <f t="shared" si="479"/>
        <v>0</v>
      </c>
      <c r="AG461" s="379">
        <f t="shared" si="479"/>
        <v>0</v>
      </c>
      <c r="AH461" s="379">
        <f t="shared" si="479"/>
        <v>0</v>
      </c>
      <c r="AI461" s="379">
        <f t="shared" si="479"/>
        <v>0</v>
      </c>
      <c r="AJ461" s="379">
        <f t="shared" si="479"/>
        <v>0</v>
      </c>
      <c r="AK461" s="379">
        <f t="shared" si="479"/>
        <v>0</v>
      </c>
      <c r="AL461" s="379">
        <f t="shared" si="479"/>
        <v>0</v>
      </c>
      <c r="AM461" s="379">
        <f t="shared" si="479"/>
        <v>0</v>
      </c>
      <c r="AN461" s="490">
        <f t="shared" si="479"/>
        <v>0</v>
      </c>
      <c r="AO461" s="379">
        <f t="shared" si="479"/>
        <v>0</v>
      </c>
      <c r="AP461" s="379">
        <f t="shared" si="479"/>
        <v>0</v>
      </c>
      <c r="AQ461" s="379">
        <f t="shared" si="479"/>
        <v>0</v>
      </c>
      <c r="AR461" s="379">
        <f t="shared" si="479"/>
        <v>0</v>
      </c>
      <c r="AS461" s="379">
        <f t="shared" si="479"/>
        <v>0</v>
      </c>
      <c r="AT461" s="379">
        <f t="shared" si="479"/>
        <v>0</v>
      </c>
      <c r="AU461" s="379">
        <f t="shared" si="479"/>
        <v>0</v>
      </c>
      <c r="AV461" s="379">
        <f t="shared" si="479"/>
        <v>0</v>
      </c>
      <c r="AW461" s="379">
        <f t="shared" si="479"/>
        <v>0</v>
      </c>
      <c r="AX461" s="379">
        <f t="shared" si="479"/>
        <v>0</v>
      </c>
      <c r="AY461" s="379">
        <f t="shared" si="479"/>
        <v>0</v>
      </c>
    </row>
    <row r="462" spans="1:51" x14ac:dyDescent="0.2">
      <c r="A462" s="493"/>
      <c r="B462" s="393"/>
      <c r="C462" s="509"/>
      <c r="D462" s="370"/>
      <c r="E462" s="368"/>
      <c r="F462" s="368"/>
      <c r="G462" s="368"/>
      <c r="H462" s="368"/>
      <c r="I462" s="368"/>
      <c r="J462" s="368"/>
      <c r="K462" s="368"/>
      <c r="L462" s="370"/>
      <c r="M462" s="368"/>
      <c r="N462" s="368"/>
      <c r="O462" s="368"/>
      <c r="P462" s="368"/>
      <c r="Q462" s="368"/>
      <c r="R462" s="368"/>
      <c r="S462" s="368"/>
      <c r="T462" s="368"/>
      <c r="U462" s="368"/>
      <c r="V462" s="368"/>
      <c r="W462" s="368"/>
      <c r="X462" s="368"/>
      <c r="Y462" s="368"/>
      <c r="Z462" s="368"/>
      <c r="AA462" s="368"/>
      <c r="AB462" s="368"/>
      <c r="AC462" s="368"/>
      <c r="AD462" s="368"/>
      <c r="AE462" s="368"/>
      <c r="AF462" s="368"/>
      <c r="AG462" s="368"/>
      <c r="AH462" s="368"/>
      <c r="AI462" s="368"/>
      <c r="AJ462" s="368"/>
      <c r="AK462" s="368"/>
      <c r="AL462" s="368"/>
      <c r="AM462" s="368"/>
      <c r="AN462" s="511"/>
      <c r="AO462" s="368"/>
      <c r="AP462" s="368"/>
      <c r="AQ462" s="368"/>
      <c r="AR462" s="368"/>
      <c r="AS462" s="368"/>
      <c r="AT462" s="368"/>
      <c r="AU462" s="368"/>
      <c r="AV462" s="368"/>
      <c r="AW462" s="368"/>
      <c r="AX462" s="368"/>
      <c r="AY462" s="368"/>
    </row>
    <row r="463" spans="1:51" x14ac:dyDescent="0.2">
      <c r="A463" s="493"/>
      <c r="B463" s="393"/>
      <c r="C463" s="509"/>
      <c r="D463" s="370"/>
      <c r="E463" s="368"/>
      <c r="F463" s="368"/>
      <c r="G463" s="368">
        <f t="shared" ref="G463:AY463" si="480">G456-G472</f>
        <v>0</v>
      </c>
      <c r="H463" s="368">
        <f t="shared" si="480"/>
        <v>0</v>
      </c>
      <c r="I463" s="368">
        <f t="shared" si="480"/>
        <v>0</v>
      </c>
      <c r="J463" s="368">
        <f t="shared" si="480"/>
        <v>0</v>
      </c>
      <c r="K463" s="368">
        <f t="shared" si="480"/>
        <v>0</v>
      </c>
      <c r="L463" s="370">
        <f t="shared" si="480"/>
        <v>0</v>
      </c>
      <c r="M463" s="368">
        <f t="shared" si="480"/>
        <v>0</v>
      </c>
      <c r="N463" s="368">
        <f t="shared" si="480"/>
        <v>0</v>
      </c>
      <c r="O463" s="368">
        <f t="shared" si="480"/>
        <v>0</v>
      </c>
      <c r="P463" s="368">
        <f t="shared" si="480"/>
        <v>0</v>
      </c>
      <c r="Q463" s="368">
        <f t="shared" si="480"/>
        <v>0</v>
      </c>
      <c r="R463" s="368">
        <f t="shared" si="480"/>
        <v>0</v>
      </c>
      <c r="S463" s="368">
        <f t="shared" si="480"/>
        <v>0</v>
      </c>
      <c r="T463" s="368">
        <f t="shared" si="480"/>
        <v>0</v>
      </c>
      <c r="U463" s="368">
        <f t="shared" si="480"/>
        <v>0</v>
      </c>
      <c r="V463" s="368">
        <f t="shared" si="480"/>
        <v>0</v>
      </c>
      <c r="W463" s="368">
        <f t="shared" si="480"/>
        <v>0</v>
      </c>
      <c r="X463" s="368">
        <f t="shared" si="480"/>
        <v>0</v>
      </c>
      <c r="Y463" s="368">
        <f t="shared" si="480"/>
        <v>0</v>
      </c>
      <c r="Z463" s="368">
        <f t="shared" si="480"/>
        <v>0</v>
      </c>
      <c r="AA463" s="368">
        <f t="shared" si="480"/>
        <v>0</v>
      </c>
      <c r="AB463" s="368">
        <f t="shared" si="480"/>
        <v>0</v>
      </c>
      <c r="AC463" s="368">
        <f t="shared" si="480"/>
        <v>0</v>
      </c>
      <c r="AD463" s="368">
        <f t="shared" si="480"/>
        <v>0</v>
      </c>
      <c r="AE463" s="368">
        <f t="shared" si="480"/>
        <v>0</v>
      </c>
      <c r="AF463" s="368">
        <f t="shared" si="480"/>
        <v>0</v>
      </c>
      <c r="AG463" s="368">
        <f t="shared" si="480"/>
        <v>0</v>
      </c>
      <c r="AH463" s="368">
        <f t="shared" si="480"/>
        <v>0</v>
      </c>
      <c r="AI463" s="368">
        <f t="shared" si="480"/>
        <v>0</v>
      </c>
      <c r="AJ463" s="368">
        <f t="shared" si="480"/>
        <v>0</v>
      </c>
      <c r="AK463" s="368">
        <f t="shared" si="480"/>
        <v>0</v>
      </c>
      <c r="AL463" s="368">
        <f t="shared" si="480"/>
        <v>0</v>
      </c>
      <c r="AM463" s="368">
        <f t="shared" si="480"/>
        <v>0</v>
      </c>
      <c r="AN463" s="511">
        <f t="shared" si="480"/>
        <v>0</v>
      </c>
      <c r="AO463" s="368">
        <f t="shared" si="480"/>
        <v>0</v>
      </c>
      <c r="AP463" s="368">
        <f t="shared" si="480"/>
        <v>0</v>
      </c>
      <c r="AQ463" s="368">
        <f t="shared" si="480"/>
        <v>0</v>
      </c>
      <c r="AR463" s="368">
        <f t="shared" si="480"/>
        <v>0</v>
      </c>
      <c r="AS463" s="368">
        <f t="shared" si="480"/>
        <v>0</v>
      </c>
      <c r="AT463" s="368">
        <f t="shared" si="480"/>
        <v>0</v>
      </c>
      <c r="AU463" s="368">
        <f t="shared" si="480"/>
        <v>0</v>
      </c>
      <c r="AV463" s="368">
        <f t="shared" si="480"/>
        <v>0</v>
      </c>
      <c r="AW463" s="368">
        <f t="shared" si="480"/>
        <v>0</v>
      </c>
      <c r="AX463" s="368">
        <f t="shared" si="480"/>
        <v>0</v>
      </c>
      <c r="AY463" s="368">
        <f t="shared" si="480"/>
        <v>0</v>
      </c>
    </row>
    <row r="464" spans="1:51" x14ac:dyDescent="0.2">
      <c r="A464" s="493"/>
      <c r="B464" s="393"/>
      <c r="C464" s="509"/>
      <c r="D464" s="370"/>
      <c r="E464" s="368"/>
      <c r="F464" s="368"/>
      <c r="G464" s="368">
        <f t="shared" ref="G464:AY464" si="481">G457-G473</f>
        <v>0</v>
      </c>
      <c r="H464" s="368">
        <f t="shared" si="481"/>
        <v>0</v>
      </c>
      <c r="I464" s="368">
        <f t="shared" si="481"/>
        <v>0</v>
      </c>
      <c r="J464" s="368">
        <f t="shared" si="481"/>
        <v>0</v>
      </c>
      <c r="K464" s="368">
        <f t="shared" si="481"/>
        <v>0</v>
      </c>
      <c r="L464" s="370">
        <f t="shared" si="481"/>
        <v>0</v>
      </c>
      <c r="M464" s="368">
        <f t="shared" si="481"/>
        <v>0</v>
      </c>
      <c r="N464" s="368">
        <f t="shared" si="481"/>
        <v>0</v>
      </c>
      <c r="O464" s="368">
        <f t="shared" si="481"/>
        <v>0</v>
      </c>
      <c r="P464" s="368">
        <f t="shared" si="481"/>
        <v>0</v>
      </c>
      <c r="Q464" s="368">
        <f t="shared" si="481"/>
        <v>0</v>
      </c>
      <c r="R464" s="368">
        <f t="shared" si="481"/>
        <v>0</v>
      </c>
      <c r="S464" s="368">
        <f t="shared" si="481"/>
        <v>0</v>
      </c>
      <c r="T464" s="368">
        <f t="shared" si="481"/>
        <v>0</v>
      </c>
      <c r="U464" s="368">
        <f t="shared" si="481"/>
        <v>0</v>
      </c>
      <c r="V464" s="368">
        <f t="shared" si="481"/>
        <v>0</v>
      </c>
      <c r="W464" s="368">
        <f t="shared" si="481"/>
        <v>0</v>
      </c>
      <c r="X464" s="368">
        <f t="shared" si="481"/>
        <v>0</v>
      </c>
      <c r="Y464" s="368">
        <f t="shared" si="481"/>
        <v>0</v>
      </c>
      <c r="Z464" s="368">
        <f t="shared" si="481"/>
        <v>0</v>
      </c>
      <c r="AA464" s="368">
        <f t="shared" si="481"/>
        <v>0</v>
      </c>
      <c r="AB464" s="368">
        <f t="shared" si="481"/>
        <v>0</v>
      </c>
      <c r="AC464" s="368">
        <f t="shared" si="481"/>
        <v>0</v>
      </c>
      <c r="AD464" s="368">
        <f t="shared" si="481"/>
        <v>0</v>
      </c>
      <c r="AE464" s="368">
        <f t="shared" si="481"/>
        <v>0</v>
      </c>
      <c r="AF464" s="368">
        <f t="shared" si="481"/>
        <v>0</v>
      </c>
      <c r="AG464" s="368">
        <f t="shared" si="481"/>
        <v>0</v>
      </c>
      <c r="AH464" s="368">
        <f t="shared" si="481"/>
        <v>0</v>
      </c>
      <c r="AI464" s="368">
        <f t="shared" si="481"/>
        <v>0</v>
      </c>
      <c r="AJ464" s="368">
        <f t="shared" si="481"/>
        <v>0</v>
      </c>
      <c r="AK464" s="368">
        <f t="shared" si="481"/>
        <v>0</v>
      </c>
      <c r="AL464" s="368">
        <f t="shared" si="481"/>
        <v>0</v>
      </c>
      <c r="AM464" s="368">
        <f t="shared" si="481"/>
        <v>0</v>
      </c>
      <c r="AN464" s="511">
        <f t="shared" si="481"/>
        <v>0</v>
      </c>
      <c r="AO464" s="368">
        <f t="shared" si="481"/>
        <v>0</v>
      </c>
      <c r="AP464" s="368">
        <f t="shared" si="481"/>
        <v>0</v>
      </c>
      <c r="AQ464" s="368">
        <f t="shared" si="481"/>
        <v>0</v>
      </c>
      <c r="AR464" s="368">
        <f t="shared" si="481"/>
        <v>0</v>
      </c>
      <c r="AS464" s="368">
        <f t="shared" si="481"/>
        <v>0</v>
      </c>
      <c r="AT464" s="368">
        <f t="shared" si="481"/>
        <v>0</v>
      </c>
      <c r="AU464" s="368">
        <f t="shared" si="481"/>
        <v>0</v>
      </c>
      <c r="AV464" s="368">
        <f t="shared" si="481"/>
        <v>0</v>
      </c>
      <c r="AW464" s="368">
        <f t="shared" si="481"/>
        <v>0</v>
      </c>
      <c r="AX464" s="368">
        <f t="shared" si="481"/>
        <v>0</v>
      </c>
      <c r="AY464" s="368">
        <f t="shared" si="481"/>
        <v>0</v>
      </c>
    </row>
    <row r="465" spans="1:51" x14ac:dyDescent="0.2">
      <c r="A465" s="493"/>
      <c r="B465" s="389"/>
      <c r="D465" s="370"/>
      <c r="E465" s="368"/>
      <c r="F465" s="368"/>
      <c r="G465" s="368">
        <f t="shared" ref="G465:AY465" si="482">G458-G474</f>
        <v>0</v>
      </c>
      <c r="H465" s="368">
        <f t="shared" si="482"/>
        <v>0</v>
      </c>
      <c r="I465" s="368">
        <f t="shared" si="482"/>
        <v>0</v>
      </c>
      <c r="J465" s="368">
        <f t="shared" si="482"/>
        <v>0</v>
      </c>
      <c r="K465" s="368">
        <f t="shared" si="482"/>
        <v>0</v>
      </c>
      <c r="L465" s="370">
        <f t="shared" si="482"/>
        <v>0</v>
      </c>
      <c r="M465" s="368">
        <f t="shared" si="482"/>
        <v>0</v>
      </c>
      <c r="N465" s="368">
        <f t="shared" si="482"/>
        <v>0</v>
      </c>
      <c r="O465" s="368">
        <f t="shared" si="482"/>
        <v>0</v>
      </c>
      <c r="P465" s="368">
        <f t="shared" si="482"/>
        <v>0</v>
      </c>
      <c r="Q465" s="368">
        <f t="shared" si="482"/>
        <v>0</v>
      </c>
      <c r="R465" s="368">
        <f t="shared" si="482"/>
        <v>0</v>
      </c>
      <c r="S465" s="368">
        <f t="shared" si="482"/>
        <v>0</v>
      </c>
      <c r="T465" s="368">
        <f t="shared" si="482"/>
        <v>0</v>
      </c>
      <c r="U465" s="368">
        <f t="shared" si="482"/>
        <v>0</v>
      </c>
      <c r="V465" s="368">
        <f t="shared" si="482"/>
        <v>0</v>
      </c>
      <c r="W465" s="368">
        <f t="shared" si="482"/>
        <v>0</v>
      </c>
      <c r="X465" s="368">
        <f t="shared" si="482"/>
        <v>0</v>
      </c>
      <c r="Y465" s="368">
        <f t="shared" si="482"/>
        <v>0</v>
      </c>
      <c r="Z465" s="368">
        <f t="shared" si="482"/>
        <v>0</v>
      </c>
      <c r="AA465" s="368">
        <f t="shared" si="482"/>
        <v>0</v>
      </c>
      <c r="AB465" s="368">
        <f t="shared" si="482"/>
        <v>0</v>
      </c>
      <c r="AC465" s="368">
        <f t="shared" si="482"/>
        <v>0</v>
      </c>
      <c r="AD465" s="368">
        <f t="shared" si="482"/>
        <v>0</v>
      </c>
      <c r="AE465" s="368">
        <f t="shared" si="482"/>
        <v>0</v>
      </c>
      <c r="AF465" s="368">
        <f t="shared" si="482"/>
        <v>0</v>
      </c>
      <c r="AG465" s="368">
        <f t="shared" si="482"/>
        <v>0</v>
      </c>
      <c r="AH465" s="368">
        <f t="shared" si="482"/>
        <v>0</v>
      </c>
      <c r="AI465" s="368">
        <f t="shared" si="482"/>
        <v>0</v>
      </c>
      <c r="AJ465" s="368">
        <f t="shared" si="482"/>
        <v>0</v>
      </c>
      <c r="AK465" s="368">
        <f t="shared" si="482"/>
        <v>0</v>
      </c>
      <c r="AL465" s="368">
        <f t="shared" si="482"/>
        <v>0</v>
      </c>
      <c r="AM465" s="368">
        <f t="shared" si="482"/>
        <v>0</v>
      </c>
      <c r="AN465" s="511">
        <f t="shared" si="482"/>
        <v>0</v>
      </c>
      <c r="AO465" s="368">
        <f t="shared" si="482"/>
        <v>0</v>
      </c>
      <c r="AP465" s="368">
        <f t="shared" si="482"/>
        <v>0</v>
      </c>
      <c r="AQ465" s="368">
        <f t="shared" si="482"/>
        <v>0</v>
      </c>
      <c r="AR465" s="368">
        <f t="shared" si="482"/>
        <v>0</v>
      </c>
      <c r="AS465" s="368">
        <f t="shared" si="482"/>
        <v>0</v>
      </c>
      <c r="AT465" s="368">
        <f t="shared" si="482"/>
        <v>0</v>
      </c>
      <c r="AU465" s="368">
        <f t="shared" si="482"/>
        <v>0</v>
      </c>
      <c r="AV465" s="368">
        <f t="shared" si="482"/>
        <v>0</v>
      </c>
      <c r="AW465" s="368">
        <f t="shared" si="482"/>
        <v>0</v>
      </c>
      <c r="AX465" s="368">
        <f t="shared" si="482"/>
        <v>0</v>
      </c>
      <c r="AY465" s="368">
        <f t="shared" si="482"/>
        <v>0</v>
      </c>
    </row>
    <row r="466" spans="1:51" x14ac:dyDescent="0.2">
      <c r="A466" s="493"/>
      <c r="B466" s="389"/>
      <c r="D466" s="370"/>
      <c r="E466" s="368"/>
      <c r="F466" s="368"/>
      <c r="G466" s="368">
        <f t="shared" ref="G466:AY466" si="483">G459-G475</f>
        <v>0</v>
      </c>
      <c r="H466" s="368">
        <f t="shared" si="483"/>
        <v>0</v>
      </c>
      <c r="I466" s="368">
        <f t="shared" si="483"/>
        <v>0</v>
      </c>
      <c r="J466" s="368">
        <f t="shared" si="483"/>
        <v>0</v>
      </c>
      <c r="K466" s="368">
        <f t="shared" si="483"/>
        <v>0</v>
      </c>
      <c r="L466" s="370">
        <f t="shared" si="483"/>
        <v>0</v>
      </c>
      <c r="M466" s="368">
        <f t="shared" si="483"/>
        <v>0</v>
      </c>
      <c r="N466" s="368">
        <f t="shared" si="483"/>
        <v>0</v>
      </c>
      <c r="O466" s="368">
        <f t="shared" si="483"/>
        <v>0</v>
      </c>
      <c r="P466" s="368">
        <f t="shared" si="483"/>
        <v>0</v>
      </c>
      <c r="Q466" s="368">
        <f t="shared" si="483"/>
        <v>0</v>
      </c>
      <c r="R466" s="368">
        <f t="shared" si="483"/>
        <v>0</v>
      </c>
      <c r="S466" s="368">
        <f t="shared" si="483"/>
        <v>0</v>
      </c>
      <c r="T466" s="368">
        <f t="shared" si="483"/>
        <v>0</v>
      </c>
      <c r="U466" s="368">
        <f t="shared" si="483"/>
        <v>0</v>
      </c>
      <c r="V466" s="368">
        <f t="shared" si="483"/>
        <v>0</v>
      </c>
      <c r="W466" s="368">
        <f t="shared" si="483"/>
        <v>0</v>
      </c>
      <c r="X466" s="368">
        <f t="shared" si="483"/>
        <v>0</v>
      </c>
      <c r="Y466" s="368">
        <f t="shared" si="483"/>
        <v>0</v>
      </c>
      <c r="Z466" s="368">
        <f t="shared" si="483"/>
        <v>0</v>
      </c>
      <c r="AA466" s="368">
        <f t="shared" si="483"/>
        <v>0</v>
      </c>
      <c r="AB466" s="368">
        <f t="shared" si="483"/>
        <v>0</v>
      </c>
      <c r="AC466" s="368">
        <f t="shared" si="483"/>
        <v>0</v>
      </c>
      <c r="AD466" s="368">
        <f t="shared" si="483"/>
        <v>0</v>
      </c>
      <c r="AE466" s="368">
        <f t="shared" si="483"/>
        <v>0</v>
      </c>
      <c r="AF466" s="368">
        <f t="shared" si="483"/>
        <v>0</v>
      </c>
      <c r="AG466" s="368">
        <f t="shared" si="483"/>
        <v>0</v>
      </c>
      <c r="AH466" s="368">
        <f t="shared" si="483"/>
        <v>0</v>
      </c>
      <c r="AI466" s="368">
        <f t="shared" si="483"/>
        <v>0</v>
      </c>
      <c r="AJ466" s="368">
        <f t="shared" si="483"/>
        <v>0</v>
      </c>
      <c r="AK466" s="368">
        <f t="shared" si="483"/>
        <v>0</v>
      </c>
      <c r="AL466" s="368">
        <f t="shared" si="483"/>
        <v>0</v>
      </c>
      <c r="AM466" s="368">
        <f t="shared" si="483"/>
        <v>0</v>
      </c>
      <c r="AN466" s="511">
        <f t="shared" si="483"/>
        <v>0</v>
      </c>
      <c r="AO466" s="368">
        <f t="shared" si="483"/>
        <v>0</v>
      </c>
      <c r="AP466" s="368">
        <f t="shared" si="483"/>
        <v>0</v>
      </c>
      <c r="AQ466" s="368">
        <f t="shared" si="483"/>
        <v>0</v>
      </c>
      <c r="AR466" s="368">
        <f t="shared" si="483"/>
        <v>0</v>
      </c>
      <c r="AS466" s="368">
        <f t="shared" si="483"/>
        <v>0</v>
      </c>
      <c r="AT466" s="368">
        <f t="shared" si="483"/>
        <v>0</v>
      </c>
      <c r="AU466" s="368">
        <f t="shared" si="483"/>
        <v>0</v>
      </c>
      <c r="AV466" s="368">
        <f t="shared" si="483"/>
        <v>0</v>
      </c>
      <c r="AW466" s="368">
        <f t="shared" si="483"/>
        <v>0</v>
      </c>
      <c r="AX466" s="368">
        <f t="shared" si="483"/>
        <v>0</v>
      </c>
      <c r="AY466" s="368">
        <f t="shared" si="483"/>
        <v>0</v>
      </c>
    </row>
    <row r="467" spans="1:51" s="394" customFormat="1" ht="15" customHeight="1" x14ac:dyDescent="0.2">
      <c r="A467" s="493"/>
      <c r="B467" s="389"/>
      <c r="C467" s="466"/>
      <c r="D467" s="370"/>
      <c r="E467" s="368"/>
      <c r="F467" s="368"/>
      <c r="G467" s="368"/>
      <c r="H467" s="368"/>
      <c r="I467" s="368"/>
      <c r="J467" s="368"/>
      <c r="K467" s="368"/>
      <c r="L467" s="370"/>
      <c r="M467" s="368"/>
      <c r="N467" s="368"/>
      <c r="O467" s="368"/>
      <c r="P467" s="368"/>
      <c r="Q467" s="368"/>
      <c r="R467" s="368"/>
      <c r="S467" s="368"/>
      <c r="T467" s="368"/>
      <c r="U467" s="368"/>
      <c r="V467" s="368"/>
      <c r="W467" s="368"/>
      <c r="X467" s="368"/>
      <c r="Y467" s="368"/>
      <c r="Z467" s="368"/>
      <c r="AA467" s="368"/>
      <c r="AB467" s="368"/>
      <c r="AC467" s="368"/>
      <c r="AD467" s="368"/>
      <c r="AE467" s="368"/>
      <c r="AF467" s="368"/>
      <c r="AG467" s="368"/>
      <c r="AH467" s="368"/>
      <c r="AI467" s="368"/>
      <c r="AJ467" s="368"/>
      <c r="AK467" s="368"/>
      <c r="AL467" s="368"/>
      <c r="AM467" s="368"/>
      <c r="AN467" s="511"/>
      <c r="AO467" s="368"/>
      <c r="AP467" s="368"/>
      <c r="AQ467" s="368"/>
      <c r="AR467" s="368"/>
      <c r="AS467" s="368"/>
      <c r="AT467" s="368"/>
      <c r="AU467" s="368"/>
      <c r="AV467" s="368"/>
      <c r="AW467" s="368"/>
      <c r="AX467" s="368"/>
      <c r="AY467" s="368"/>
    </row>
    <row r="468" spans="1:51" s="395" customFormat="1" ht="15" customHeight="1" x14ac:dyDescent="0.2">
      <c r="A468" s="512"/>
      <c r="B468" s="513" t="s">
        <v>17</v>
      </c>
      <c r="C468" s="514"/>
      <c r="D468" s="515"/>
      <c r="E468" s="516"/>
      <c r="F468" s="517"/>
      <c r="G468" s="518">
        <f t="shared" ref="G468:AY468" si="484">SUM(G472:G475)</f>
        <v>7725840</v>
      </c>
      <c r="H468" s="518">
        <f t="shared" si="484"/>
        <v>2996611</v>
      </c>
      <c r="I468" s="518">
        <f t="shared" si="484"/>
        <v>48313.739999999991</v>
      </c>
      <c r="J468" s="518">
        <f t="shared" si="484"/>
        <v>0</v>
      </c>
      <c r="K468" s="518">
        <f t="shared" si="484"/>
        <v>2735205</v>
      </c>
      <c r="L468" s="518">
        <f t="shared" si="484"/>
        <v>0</v>
      </c>
      <c r="M468" s="518">
        <f t="shared" si="484"/>
        <v>2671542</v>
      </c>
      <c r="N468" s="518">
        <f t="shared" si="484"/>
        <v>1433778</v>
      </c>
      <c r="O468" s="518">
        <f t="shared" si="484"/>
        <v>361409</v>
      </c>
      <c r="P468" s="518">
        <f t="shared" si="484"/>
        <v>0</v>
      </c>
      <c r="Q468" s="518">
        <f t="shared" si="484"/>
        <v>0</v>
      </c>
      <c r="R468" s="518">
        <f t="shared" si="484"/>
        <v>0</v>
      </c>
      <c r="S468" s="518">
        <f t="shared" si="484"/>
        <v>0</v>
      </c>
      <c r="T468" s="518">
        <f t="shared" si="484"/>
        <v>0</v>
      </c>
      <c r="U468" s="518">
        <f t="shared" si="484"/>
        <v>0</v>
      </c>
      <c r="V468" s="518">
        <f t="shared" si="484"/>
        <v>0</v>
      </c>
      <c r="W468" s="518">
        <f t="shared" si="484"/>
        <v>0</v>
      </c>
      <c r="X468" s="518">
        <f t="shared" si="484"/>
        <v>0</v>
      </c>
      <c r="Y468" s="518">
        <f t="shared" si="484"/>
        <v>0</v>
      </c>
      <c r="Z468" s="518">
        <f t="shared" si="484"/>
        <v>0</v>
      </c>
      <c r="AA468" s="518">
        <f t="shared" si="484"/>
        <v>0</v>
      </c>
      <c r="AB468" s="518">
        <f t="shared" si="484"/>
        <v>0</v>
      </c>
      <c r="AC468" s="518">
        <f t="shared" si="484"/>
        <v>0</v>
      </c>
      <c r="AD468" s="518">
        <f t="shared" si="484"/>
        <v>0</v>
      </c>
      <c r="AE468" s="518">
        <f t="shared" si="484"/>
        <v>0</v>
      </c>
      <c r="AF468" s="518">
        <f t="shared" si="484"/>
        <v>0</v>
      </c>
      <c r="AG468" s="518">
        <f t="shared" si="484"/>
        <v>0</v>
      </c>
      <c r="AH468" s="518">
        <f t="shared" si="484"/>
        <v>0</v>
      </c>
      <c r="AI468" s="518">
        <f t="shared" si="484"/>
        <v>0</v>
      </c>
      <c r="AJ468" s="518">
        <f t="shared" si="484"/>
        <v>0</v>
      </c>
      <c r="AK468" s="518">
        <f t="shared" si="484"/>
        <v>0</v>
      </c>
      <c r="AL468" s="518">
        <f t="shared" si="484"/>
        <v>0</v>
      </c>
      <c r="AM468" s="518">
        <f t="shared" si="484"/>
        <v>0</v>
      </c>
      <c r="AN468" s="519">
        <f t="shared" si="484"/>
        <v>0</v>
      </c>
      <c r="AO468" s="518">
        <f t="shared" si="484"/>
        <v>0</v>
      </c>
      <c r="AP468" s="518">
        <f t="shared" si="484"/>
        <v>0</v>
      </c>
      <c r="AQ468" s="518">
        <f t="shared" si="484"/>
        <v>0</v>
      </c>
      <c r="AR468" s="518">
        <f t="shared" si="484"/>
        <v>0</v>
      </c>
      <c r="AS468" s="518">
        <f t="shared" si="484"/>
        <v>0</v>
      </c>
      <c r="AT468" s="518">
        <f t="shared" si="484"/>
        <v>0</v>
      </c>
      <c r="AU468" s="518">
        <f t="shared" si="484"/>
        <v>0</v>
      </c>
      <c r="AV468" s="518">
        <f t="shared" si="484"/>
        <v>0</v>
      </c>
      <c r="AW468" s="518">
        <f t="shared" si="484"/>
        <v>0</v>
      </c>
      <c r="AX468" s="518">
        <f t="shared" si="484"/>
        <v>0</v>
      </c>
      <c r="AY468" s="518">
        <f t="shared" si="484"/>
        <v>0</v>
      </c>
    </row>
    <row r="469" spans="1:51" s="395" customFormat="1" ht="15" customHeight="1" x14ac:dyDescent="0.2">
      <c r="A469" s="520"/>
      <c r="B469" s="520" t="s">
        <v>307</v>
      </c>
      <c r="C469" s="521"/>
      <c r="D469" s="522"/>
      <c r="E469" s="523"/>
      <c r="F469" s="521"/>
      <c r="G469" s="524"/>
      <c r="H469" s="524"/>
      <c r="I469" s="524"/>
      <c r="J469" s="524"/>
      <c r="K469" s="524"/>
      <c r="L469" s="582"/>
      <c r="M469" s="524"/>
      <c r="N469" s="524"/>
      <c r="O469" s="524"/>
      <c r="P469" s="524"/>
      <c r="Q469" s="524"/>
      <c r="R469" s="524"/>
      <c r="S469" s="524"/>
      <c r="T469" s="524"/>
      <c r="U469" s="524"/>
      <c r="V469" s="524"/>
      <c r="W469" s="524"/>
      <c r="X469" s="524"/>
      <c r="Y469" s="524"/>
      <c r="Z469" s="524"/>
      <c r="AA469" s="524"/>
      <c r="AB469" s="524"/>
      <c r="AC469" s="524"/>
      <c r="AD469" s="524"/>
      <c r="AE469" s="524"/>
      <c r="AF469" s="524"/>
      <c r="AG469" s="524"/>
      <c r="AH469" s="524"/>
      <c r="AI469" s="524"/>
      <c r="AJ469" s="524"/>
      <c r="AK469" s="524"/>
      <c r="AL469" s="524"/>
      <c r="AM469" s="524"/>
      <c r="AN469" s="525"/>
      <c r="AO469" s="524"/>
      <c r="AP469" s="524"/>
      <c r="AQ469" s="524"/>
      <c r="AR469" s="524"/>
      <c r="AS469" s="524"/>
      <c r="AT469" s="524"/>
      <c r="AU469" s="524"/>
      <c r="AV469" s="524"/>
      <c r="AW469" s="524"/>
      <c r="AX469" s="524"/>
      <c r="AY469" s="524"/>
    </row>
    <row r="470" spans="1:51" x14ac:dyDescent="0.2">
      <c r="A470" s="520"/>
      <c r="B470" s="520" t="s">
        <v>308</v>
      </c>
      <c r="C470" s="521"/>
      <c r="D470" s="522"/>
      <c r="E470" s="523"/>
      <c r="F470" s="521"/>
      <c r="G470" s="526"/>
      <c r="H470" s="526"/>
      <c r="I470" s="526"/>
      <c r="J470" s="526"/>
      <c r="K470" s="526"/>
      <c r="L470" s="583"/>
      <c r="M470" s="526"/>
      <c r="N470" s="526"/>
      <c r="O470" s="526"/>
      <c r="P470" s="526"/>
      <c r="Q470" s="526"/>
      <c r="R470" s="526"/>
      <c r="S470" s="526"/>
      <c r="T470" s="526"/>
      <c r="U470" s="526"/>
      <c r="V470" s="526"/>
      <c r="W470" s="526"/>
      <c r="X470" s="526"/>
      <c r="Y470" s="526"/>
      <c r="Z470" s="526"/>
      <c r="AA470" s="526"/>
      <c r="AB470" s="526"/>
      <c r="AC470" s="526"/>
      <c r="AD470" s="526"/>
      <c r="AE470" s="526"/>
      <c r="AF470" s="526"/>
      <c r="AG470" s="526"/>
      <c r="AH470" s="526"/>
      <c r="AI470" s="526"/>
      <c r="AJ470" s="526"/>
      <c r="AK470" s="526"/>
      <c r="AL470" s="526"/>
      <c r="AM470" s="526"/>
      <c r="AN470" s="527"/>
      <c r="AO470" s="526"/>
      <c r="AP470" s="526"/>
      <c r="AQ470" s="526"/>
      <c r="AR470" s="526"/>
      <c r="AS470" s="526"/>
      <c r="AT470" s="526"/>
      <c r="AU470" s="526"/>
      <c r="AV470" s="526"/>
      <c r="AW470" s="526"/>
      <c r="AX470" s="526"/>
      <c r="AY470" s="526"/>
    </row>
    <row r="471" spans="1:51" s="397" customFormat="1" x14ac:dyDescent="0.2">
      <c r="A471" s="367"/>
      <c r="B471" s="528" t="s">
        <v>17</v>
      </c>
      <c r="C471" s="508"/>
      <c r="D471" s="398"/>
      <c r="E471" s="390"/>
      <c r="F471" s="369"/>
      <c r="G471" s="370">
        <f>SUM(G472:G475)</f>
        <v>7725840</v>
      </c>
      <c r="H471" s="370">
        <f>SUM(H472:H475)</f>
        <v>2996611</v>
      </c>
      <c r="I471" s="370"/>
      <c r="J471" s="370"/>
      <c r="K471" s="370"/>
      <c r="L471" s="370"/>
      <c r="M471" s="370"/>
      <c r="N471" s="370"/>
      <c r="O471" s="370"/>
      <c r="P471" s="370"/>
      <c r="Q471" s="370"/>
      <c r="R471" s="370"/>
      <c r="S471" s="370"/>
      <c r="T471" s="370"/>
      <c r="U471" s="370"/>
      <c r="V471" s="370"/>
      <c r="W471" s="370"/>
      <c r="X471" s="370"/>
      <c r="Y471" s="370"/>
      <c r="Z471" s="370"/>
      <c r="AA471" s="370"/>
      <c r="AB471" s="370"/>
      <c r="AC471" s="370"/>
      <c r="AD471" s="370"/>
      <c r="AE471" s="370"/>
      <c r="AF471" s="370"/>
      <c r="AG471" s="370"/>
      <c r="AH471" s="370"/>
      <c r="AI471" s="370"/>
      <c r="AJ471" s="370"/>
      <c r="AK471" s="370"/>
      <c r="AL471" s="370"/>
      <c r="AM471" s="370"/>
      <c r="AN471" s="511"/>
      <c r="AO471" s="370"/>
      <c r="AP471" s="370"/>
      <c r="AQ471" s="370"/>
      <c r="AR471" s="370"/>
      <c r="AS471" s="370"/>
      <c r="AT471" s="370"/>
      <c r="AU471" s="370"/>
      <c r="AV471" s="370"/>
      <c r="AW471" s="370"/>
      <c r="AX471" s="370"/>
      <c r="AY471" s="370"/>
    </row>
    <row r="472" spans="1:51" s="397" customFormat="1" x14ac:dyDescent="0.2">
      <c r="A472" s="529"/>
      <c r="B472" s="528" t="s">
        <v>18</v>
      </c>
      <c r="C472" s="530"/>
      <c r="D472" s="531">
        <v>30</v>
      </c>
      <c r="E472" s="396"/>
      <c r="F472" s="532"/>
      <c r="G472" s="533">
        <f t="shared" ref="G472:AY472" si="485">SUMIF($D$5:$D$132,"=S",G$5:G$132)</f>
        <v>4474485</v>
      </c>
      <c r="H472" s="533">
        <f t="shared" si="485"/>
        <v>1611156</v>
      </c>
      <c r="I472" s="533">
        <f t="shared" si="485"/>
        <v>13507.439999999999</v>
      </c>
      <c r="J472" s="533">
        <f t="shared" si="485"/>
        <v>0</v>
      </c>
      <c r="K472" s="533">
        <f t="shared" si="485"/>
        <v>1468062</v>
      </c>
      <c r="L472" s="533">
        <f t="shared" si="485"/>
        <v>0</v>
      </c>
      <c r="M472" s="533">
        <f t="shared" si="485"/>
        <v>1446961</v>
      </c>
      <c r="N472" s="533">
        <f t="shared" si="485"/>
        <v>787507</v>
      </c>
      <c r="O472" s="533">
        <f t="shared" si="485"/>
        <v>81513</v>
      </c>
      <c r="P472" s="533">
        <f t="shared" si="485"/>
        <v>0</v>
      </c>
      <c r="Q472" s="533">
        <f t="shared" si="485"/>
        <v>0</v>
      </c>
      <c r="R472" s="533">
        <f t="shared" si="485"/>
        <v>0</v>
      </c>
      <c r="S472" s="533">
        <f t="shared" si="485"/>
        <v>0</v>
      </c>
      <c r="T472" s="533">
        <f t="shared" si="485"/>
        <v>0</v>
      </c>
      <c r="U472" s="533">
        <f t="shared" si="485"/>
        <v>0</v>
      </c>
      <c r="V472" s="533">
        <f t="shared" si="485"/>
        <v>0</v>
      </c>
      <c r="W472" s="533">
        <f t="shared" si="485"/>
        <v>0</v>
      </c>
      <c r="X472" s="533">
        <f t="shared" si="485"/>
        <v>0</v>
      </c>
      <c r="Y472" s="533">
        <f t="shared" si="485"/>
        <v>0</v>
      </c>
      <c r="Z472" s="533">
        <f t="shared" si="485"/>
        <v>0</v>
      </c>
      <c r="AA472" s="533">
        <f t="shared" si="485"/>
        <v>0</v>
      </c>
      <c r="AB472" s="533">
        <f t="shared" si="485"/>
        <v>0</v>
      </c>
      <c r="AC472" s="533">
        <f t="shared" si="485"/>
        <v>0</v>
      </c>
      <c r="AD472" s="533">
        <f t="shared" si="485"/>
        <v>0</v>
      </c>
      <c r="AE472" s="533">
        <f t="shared" si="485"/>
        <v>0</v>
      </c>
      <c r="AF472" s="533">
        <f t="shared" si="485"/>
        <v>0</v>
      </c>
      <c r="AG472" s="533">
        <f t="shared" si="485"/>
        <v>0</v>
      </c>
      <c r="AH472" s="533">
        <f t="shared" si="485"/>
        <v>0</v>
      </c>
      <c r="AI472" s="533">
        <f t="shared" si="485"/>
        <v>0</v>
      </c>
      <c r="AJ472" s="533">
        <f t="shared" si="485"/>
        <v>0</v>
      </c>
      <c r="AK472" s="533">
        <f t="shared" si="485"/>
        <v>0</v>
      </c>
      <c r="AL472" s="533">
        <f t="shared" si="485"/>
        <v>0</v>
      </c>
      <c r="AM472" s="533">
        <f t="shared" si="485"/>
        <v>0</v>
      </c>
      <c r="AN472" s="534">
        <f t="shared" si="485"/>
        <v>0</v>
      </c>
      <c r="AO472" s="533">
        <f t="shared" si="485"/>
        <v>0</v>
      </c>
      <c r="AP472" s="533">
        <f t="shared" si="485"/>
        <v>0</v>
      </c>
      <c r="AQ472" s="533">
        <f t="shared" si="485"/>
        <v>0</v>
      </c>
      <c r="AR472" s="533">
        <f t="shared" si="485"/>
        <v>0</v>
      </c>
      <c r="AS472" s="533">
        <f t="shared" si="485"/>
        <v>0</v>
      </c>
      <c r="AT472" s="533">
        <f t="shared" si="485"/>
        <v>0</v>
      </c>
      <c r="AU472" s="533">
        <f t="shared" si="485"/>
        <v>0</v>
      </c>
      <c r="AV472" s="533">
        <f t="shared" si="485"/>
        <v>0</v>
      </c>
      <c r="AW472" s="533">
        <f t="shared" si="485"/>
        <v>0</v>
      </c>
      <c r="AX472" s="533">
        <f t="shared" si="485"/>
        <v>0</v>
      </c>
      <c r="AY472" s="533">
        <f t="shared" si="485"/>
        <v>0</v>
      </c>
    </row>
    <row r="473" spans="1:51" s="397" customFormat="1" x14ac:dyDescent="0.2">
      <c r="A473" s="529"/>
      <c r="B473" s="528" t="s">
        <v>19</v>
      </c>
      <c r="C473" s="530"/>
      <c r="D473" s="531">
        <v>12</v>
      </c>
      <c r="E473" s="396"/>
      <c r="F473" s="532"/>
      <c r="G473" s="535">
        <f t="shared" ref="G473:AY473" si="486">SUMIF($D$5:$D$132,"=E",G$5:G$132)</f>
        <v>1430112</v>
      </c>
      <c r="H473" s="535">
        <f t="shared" si="486"/>
        <v>572568</v>
      </c>
      <c r="I473" s="535">
        <f t="shared" si="486"/>
        <v>5313.65</v>
      </c>
      <c r="J473" s="535">
        <f t="shared" si="486"/>
        <v>0</v>
      </c>
      <c r="K473" s="535">
        <f t="shared" si="486"/>
        <v>565548</v>
      </c>
      <c r="L473" s="535">
        <f t="shared" si="486"/>
        <v>0</v>
      </c>
      <c r="M473" s="535">
        <f t="shared" si="486"/>
        <v>567003</v>
      </c>
      <c r="N473" s="535">
        <f t="shared" si="486"/>
        <v>427538</v>
      </c>
      <c r="O473" s="535">
        <f t="shared" si="486"/>
        <v>33201</v>
      </c>
      <c r="P473" s="535">
        <f t="shared" si="486"/>
        <v>0</v>
      </c>
      <c r="Q473" s="535">
        <f t="shared" si="486"/>
        <v>0</v>
      </c>
      <c r="R473" s="535">
        <f t="shared" si="486"/>
        <v>0</v>
      </c>
      <c r="S473" s="535">
        <f t="shared" si="486"/>
        <v>0</v>
      </c>
      <c r="T473" s="535">
        <f t="shared" si="486"/>
        <v>0</v>
      </c>
      <c r="U473" s="535">
        <f t="shared" si="486"/>
        <v>0</v>
      </c>
      <c r="V473" s="535">
        <f t="shared" si="486"/>
        <v>0</v>
      </c>
      <c r="W473" s="535">
        <f t="shared" si="486"/>
        <v>0</v>
      </c>
      <c r="X473" s="535">
        <f t="shared" si="486"/>
        <v>0</v>
      </c>
      <c r="Y473" s="535">
        <f t="shared" si="486"/>
        <v>0</v>
      </c>
      <c r="Z473" s="535">
        <f t="shared" si="486"/>
        <v>0</v>
      </c>
      <c r="AA473" s="535">
        <f t="shared" si="486"/>
        <v>0</v>
      </c>
      <c r="AB473" s="535">
        <f t="shared" si="486"/>
        <v>0</v>
      </c>
      <c r="AC473" s="535">
        <f t="shared" si="486"/>
        <v>0</v>
      </c>
      <c r="AD473" s="535">
        <f t="shared" si="486"/>
        <v>0</v>
      </c>
      <c r="AE473" s="535">
        <f t="shared" si="486"/>
        <v>0</v>
      </c>
      <c r="AF473" s="535">
        <f t="shared" si="486"/>
        <v>0</v>
      </c>
      <c r="AG473" s="535">
        <f t="shared" si="486"/>
        <v>0</v>
      </c>
      <c r="AH473" s="535">
        <f t="shared" si="486"/>
        <v>0</v>
      </c>
      <c r="AI473" s="535">
        <f t="shared" si="486"/>
        <v>0</v>
      </c>
      <c r="AJ473" s="535">
        <f t="shared" si="486"/>
        <v>0</v>
      </c>
      <c r="AK473" s="535">
        <f t="shared" si="486"/>
        <v>0</v>
      </c>
      <c r="AL473" s="535">
        <f t="shared" si="486"/>
        <v>0</v>
      </c>
      <c r="AM473" s="535">
        <f t="shared" si="486"/>
        <v>0</v>
      </c>
      <c r="AN473" s="536">
        <f t="shared" si="486"/>
        <v>0</v>
      </c>
      <c r="AO473" s="535">
        <f t="shared" si="486"/>
        <v>0</v>
      </c>
      <c r="AP473" s="535">
        <f t="shared" si="486"/>
        <v>0</v>
      </c>
      <c r="AQ473" s="535">
        <f t="shared" si="486"/>
        <v>0</v>
      </c>
      <c r="AR473" s="535">
        <f t="shared" si="486"/>
        <v>0</v>
      </c>
      <c r="AS473" s="535">
        <f t="shared" si="486"/>
        <v>0</v>
      </c>
      <c r="AT473" s="535">
        <f t="shared" si="486"/>
        <v>0</v>
      </c>
      <c r="AU473" s="535">
        <f t="shared" si="486"/>
        <v>0</v>
      </c>
      <c r="AV473" s="535">
        <f t="shared" si="486"/>
        <v>0</v>
      </c>
      <c r="AW473" s="535">
        <f t="shared" si="486"/>
        <v>0</v>
      </c>
      <c r="AX473" s="535">
        <f t="shared" si="486"/>
        <v>0</v>
      </c>
      <c r="AY473" s="535">
        <f t="shared" si="486"/>
        <v>0</v>
      </c>
    </row>
    <row r="474" spans="1:51" s="397" customFormat="1" x14ac:dyDescent="0.2">
      <c r="A474" s="529"/>
      <c r="B474" s="510" t="s">
        <v>20</v>
      </c>
      <c r="C474" s="530"/>
      <c r="D474" s="531">
        <v>19</v>
      </c>
      <c r="E474" s="396"/>
      <c r="F474" s="532"/>
      <c r="G474" s="533">
        <f t="shared" ref="G474:AY474" si="487">SUMIF($D$5:$D$132,"=R",G$5:G$132)</f>
        <v>800741</v>
      </c>
      <c r="H474" s="533">
        <f t="shared" si="487"/>
        <v>357435</v>
      </c>
      <c r="I474" s="533">
        <f t="shared" si="487"/>
        <v>8196.130000000001</v>
      </c>
      <c r="J474" s="533">
        <f t="shared" si="487"/>
        <v>0</v>
      </c>
      <c r="K474" s="533">
        <f t="shared" si="487"/>
        <v>315143</v>
      </c>
      <c r="L474" s="533">
        <f t="shared" si="487"/>
        <v>0</v>
      </c>
      <c r="M474" s="533">
        <f t="shared" si="487"/>
        <v>312711</v>
      </c>
      <c r="N474" s="533">
        <f t="shared" si="487"/>
        <v>112993</v>
      </c>
      <c r="O474" s="533">
        <f t="shared" si="487"/>
        <v>143300</v>
      </c>
      <c r="P474" s="533">
        <f t="shared" si="487"/>
        <v>0</v>
      </c>
      <c r="Q474" s="533">
        <f t="shared" si="487"/>
        <v>0</v>
      </c>
      <c r="R474" s="533">
        <f t="shared" si="487"/>
        <v>0</v>
      </c>
      <c r="S474" s="533">
        <f t="shared" si="487"/>
        <v>0</v>
      </c>
      <c r="T474" s="533">
        <f t="shared" si="487"/>
        <v>0</v>
      </c>
      <c r="U474" s="533">
        <f t="shared" si="487"/>
        <v>0</v>
      </c>
      <c r="V474" s="533">
        <f t="shared" si="487"/>
        <v>0</v>
      </c>
      <c r="W474" s="533">
        <f t="shared" si="487"/>
        <v>0</v>
      </c>
      <c r="X474" s="533">
        <f t="shared" si="487"/>
        <v>0</v>
      </c>
      <c r="Y474" s="533">
        <f t="shared" si="487"/>
        <v>0</v>
      </c>
      <c r="Z474" s="533">
        <f t="shared" si="487"/>
        <v>0</v>
      </c>
      <c r="AA474" s="533">
        <f t="shared" si="487"/>
        <v>0</v>
      </c>
      <c r="AB474" s="533">
        <f t="shared" si="487"/>
        <v>0</v>
      </c>
      <c r="AC474" s="533">
        <f t="shared" si="487"/>
        <v>0</v>
      </c>
      <c r="AD474" s="533">
        <f t="shared" si="487"/>
        <v>0</v>
      </c>
      <c r="AE474" s="533">
        <f t="shared" si="487"/>
        <v>0</v>
      </c>
      <c r="AF474" s="533">
        <f t="shared" si="487"/>
        <v>0</v>
      </c>
      <c r="AG474" s="533">
        <f t="shared" si="487"/>
        <v>0</v>
      </c>
      <c r="AH474" s="533">
        <f t="shared" si="487"/>
        <v>0</v>
      </c>
      <c r="AI474" s="533">
        <f t="shared" si="487"/>
        <v>0</v>
      </c>
      <c r="AJ474" s="533">
        <f t="shared" si="487"/>
        <v>0</v>
      </c>
      <c r="AK474" s="533">
        <f t="shared" si="487"/>
        <v>0</v>
      </c>
      <c r="AL474" s="533">
        <f t="shared" si="487"/>
        <v>0</v>
      </c>
      <c r="AM474" s="533">
        <f t="shared" si="487"/>
        <v>0</v>
      </c>
      <c r="AN474" s="534">
        <f t="shared" si="487"/>
        <v>0</v>
      </c>
      <c r="AO474" s="533">
        <f t="shared" si="487"/>
        <v>0</v>
      </c>
      <c r="AP474" s="533">
        <f t="shared" si="487"/>
        <v>0</v>
      </c>
      <c r="AQ474" s="533">
        <f t="shared" si="487"/>
        <v>0</v>
      </c>
      <c r="AR474" s="533">
        <f t="shared" si="487"/>
        <v>0</v>
      </c>
      <c r="AS474" s="533">
        <f t="shared" si="487"/>
        <v>0</v>
      </c>
      <c r="AT474" s="533">
        <f t="shared" si="487"/>
        <v>0</v>
      </c>
      <c r="AU474" s="533">
        <f t="shared" si="487"/>
        <v>0</v>
      </c>
      <c r="AV474" s="533">
        <f t="shared" si="487"/>
        <v>0</v>
      </c>
      <c r="AW474" s="533">
        <f t="shared" si="487"/>
        <v>0</v>
      </c>
      <c r="AX474" s="533">
        <f t="shared" si="487"/>
        <v>0</v>
      </c>
      <c r="AY474" s="533">
        <f t="shared" si="487"/>
        <v>0</v>
      </c>
    </row>
    <row r="475" spans="1:51" x14ac:dyDescent="0.2">
      <c r="A475" s="529"/>
      <c r="B475" s="510" t="s">
        <v>305</v>
      </c>
      <c r="C475" s="530"/>
      <c r="D475" s="531">
        <v>67</v>
      </c>
      <c r="E475" s="396"/>
      <c r="F475" s="532"/>
      <c r="G475" s="537">
        <f t="shared" ref="G475:AY475" si="488">SUMIF($D$5:$D$132,"=N",G$5:G$132)</f>
        <v>1020502</v>
      </c>
      <c r="H475" s="537">
        <f t="shared" si="488"/>
        <v>455452</v>
      </c>
      <c r="I475" s="537">
        <f t="shared" si="488"/>
        <v>21296.519999999997</v>
      </c>
      <c r="J475" s="537">
        <f t="shared" si="488"/>
        <v>0</v>
      </c>
      <c r="K475" s="537">
        <f t="shared" si="488"/>
        <v>386452</v>
      </c>
      <c r="L475" s="537">
        <f t="shared" si="488"/>
        <v>0</v>
      </c>
      <c r="M475" s="537">
        <f t="shared" si="488"/>
        <v>344867</v>
      </c>
      <c r="N475" s="537">
        <f t="shared" si="488"/>
        <v>105740</v>
      </c>
      <c r="O475" s="537">
        <f t="shared" si="488"/>
        <v>103395</v>
      </c>
      <c r="P475" s="537">
        <f t="shared" si="488"/>
        <v>0</v>
      </c>
      <c r="Q475" s="537">
        <f t="shared" si="488"/>
        <v>0</v>
      </c>
      <c r="R475" s="537">
        <f t="shared" si="488"/>
        <v>0</v>
      </c>
      <c r="S475" s="537">
        <f t="shared" si="488"/>
        <v>0</v>
      </c>
      <c r="T475" s="537">
        <f t="shared" si="488"/>
        <v>0</v>
      </c>
      <c r="U475" s="537">
        <f t="shared" si="488"/>
        <v>0</v>
      </c>
      <c r="V475" s="537">
        <f t="shared" si="488"/>
        <v>0</v>
      </c>
      <c r="W475" s="537">
        <f t="shared" si="488"/>
        <v>0</v>
      </c>
      <c r="X475" s="537">
        <f t="shared" si="488"/>
        <v>0</v>
      </c>
      <c r="Y475" s="537">
        <f t="shared" si="488"/>
        <v>0</v>
      </c>
      <c r="Z475" s="537">
        <f t="shared" si="488"/>
        <v>0</v>
      </c>
      <c r="AA475" s="537">
        <f t="shared" si="488"/>
        <v>0</v>
      </c>
      <c r="AB475" s="537">
        <f t="shared" si="488"/>
        <v>0</v>
      </c>
      <c r="AC475" s="537">
        <f t="shared" si="488"/>
        <v>0</v>
      </c>
      <c r="AD475" s="537">
        <f t="shared" si="488"/>
        <v>0</v>
      </c>
      <c r="AE475" s="537">
        <f t="shared" si="488"/>
        <v>0</v>
      </c>
      <c r="AF475" s="537">
        <f t="shared" si="488"/>
        <v>0</v>
      </c>
      <c r="AG475" s="537">
        <f t="shared" si="488"/>
        <v>0</v>
      </c>
      <c r="AH475" s="537">
        <f t="shared" si="488"/>
        <v>0</v>
      </c>
      <c r="AI475" s="537">
        <f t="shared" si="488"/>
        <v>0</v>
      </c>
      <c r="AJ475" s="537">
        <f t="shared" si="488"/>
        <v>0</v>
      </c>
      <c r="AK475" s="537">
        <f t="shared" si="488"/>
        <v>0</v>
      </c>
      <c r="AL475" s="537">
        <f t="shared" si="488"/>
        <v>0</v>
      </c>
      <c r="AM475" s="537">
        <f t="shared" si="488"/>
        <v>0</v>
      </c>
      <c r="AN475" s="538">
        <f t="shared" si="488"/>
        <v>0</v>
      </c>
      <c r="AO475" s="537">
        <f t="shared" si="488"/>
        <v>0</v>
      </c>
      <c r="AP475" s="537">
        <f t="shared" si="488"/>
        <v>0</v>
      </c>
      <c r="AQ475" s="537">
        <f t="shared" si="488"/>
        <v>0</v>
      </c>
      <c r="AR475" s="537">
        <f t="shared" si="488"/>
        <v>0</v>
      </c>
      <c r="AS475" s="537">
        <f t="shared" si="488"/>
        <v>0</v>
      </c>
      <c r="AT475" s="537">
        <f t="shared" si="488"/>
        <v>0</v>
      </c>
      <c r="AU475" s="537">
        <f t="shared" si="488"/>
        <v>0</v>
      </c>
      <c r="AV475" s="537">
        <f t="shared" si="488"/>
        <v>0</v>
      </c>
      <c r="AW475" s="537">
        <f t="shared" si="488"/>
        <v>0</v>
      </c>
      <c r="AX475" s="537">
        <f t="shared" si="488"/>
        <v>0</v>
      </c>
      <c r="AY475" s="537">
        <f t="shared" si="488"/>
        <v>0</v>
      </c>
    </row>
    <row r="476" spans="1:51" x14ac:dyDescent="0.2">
      <c r="A476" s="529"/>
      <c r="B476" s="393" t="s">
        <v>262</v>
      </c>
      <c r="C476" s="530"/>
      <c r="D476" s="531">
        <v>86</v>
      </c>
      <c r="E476" s="396"/>
      <c r="F476" s="532"/>
      <c r="G476" s="533">
        <f t="shared" ref="G476:AY476" si="489">G474+G475</f>
        <v>1821243</v>
      </c>
      <c r="H476" s="533">
        <f t="shared" si="489"/>
        <v>812887</v>
      </c>
      <c r="I476" s="533">
        <f t="shared" si="489"/>
        <v>29492.649999999998</v>
      </c>
      <c r="J476" s="533">
        <f t="shared" si="489"/>
        <v>0</v>
      </c>
      <c r="K476" s="533">
        <f t="shared" si="489"/>
        <v>701595</v>
      </c>
      <c r="L476" s="533">
        <f t="shared" si="489"/>
        <v>0</v>
      </c>
      <c r="M476" s="533">
        <f t="shared" si="489"/>
        <v>657578</v>
      </c>
      <c r="N476" s="533">
        <f t="shared" si="489"/>
        <v>218733</v>
      </c>
      <c r="O476" s="533">
        <f t="shared" si="489"/>
        <v>246695</v>
      </c>
      <c r="P476" s="533">
        <f t="shared" si="489"/>
        <v>0</v>
      </c>
      <c r="Q476" s="533">
        <f t="shared" si="489"/>
        <v>0</v>
      </c>
      <c r="R476" s="533">
        <f t="shared" si="489"/>
        <v>0</v>
      </c>
      <c r="S476" s="533">
        <f t="shared" si="489"/>
        <v>0</v>
      </c>
      <c r="T476" s="533">
        <f t="shared" si="489"/>
        <v>0</v>
      </c>
      <c r="U476" s="533">
        <f t="shared" si="489"/>
        <v>0</v>
      </c>
      <c r="V476" s="533">
        <f t="shared" si="489"/>
        <v>0</v>
      </c>
      <c r="W476" s="533">
        <f t="shared" si="489"/>
        <v>0</v>
      </c>
      <c r="X476" s="533">
        <f t="shared" si="489"/>
        <v>0</v>
      </c>
      <c r="Y476" s="533">
        <f t="shared" si="489"/>
        <v>0</v>
      </c>
      <c r="Z476" s="533">
        <f t="shared" si="489"/>
        <v>0</v>
      </c>
      <c r="AA476" s="533">
        <f t="shared" si="489"/>
        <v>0</v>
      </c>
      <c r="AB476" s="533">
        <f t="shared" si="489"/>
        <v>0</v>
      </c>
      <c r="AC476" s="533">
        <f t="shared" si="489"/>
        <v>0</v>
      </c>
      <c r="AD476" s="533">
        <f t="shared" si="489"/>
        <v>0</v>
      </c>
      <c r="AE476" s="533">
        <f t="shared" si="489"/>
        <v>0</v>
      </c>
      <c r="AF476" s="533">
        <f t="shared" si="489"/>
        <v>0</v>
      </c>
      <c r="AG476" s="533">
        <f t="shared" si="489"/>
        <v>0</v>
      </c>
      <c r="AH476" s="533">
        <f t="shared" si="489"/>
        <v>0</v>
      </c>
      <c r="AI476" s="533">
        <f t="shared" si="489"/>
        <v>0</v>
      </c>
      <c r="AJ476" s="533">
        <f t="shared" si="489"/>
        <v>0</v>
      </c>
      <c r="AK476" s="533">
        <f t="shared" si="489"/>
        <v>0</v>
      </c>
      <c r="AL476" s="533">
        <f t="shared" si="489"/>
        <v>0</v>
      </c>
      <c r="AM476" s="533">
        <f t="shared" si="489"/>
        <v>0</v>
      </c>
      <c r="AN476" s="534">
        <f t="shared" si="489"/>
        <v>0</v>
      </c>
      <c r="AO476" s="533">
        <f t="shared" si="489"/>
        <v>0</v>
      </c>
      <c r="AP476" s="533">
        <f t="shared" si="489"/>
        <v>0</v>
      </c>
      <c r="AQ476" s="533">
        <f t="shared" si="489"/>
        <v>0</v>
      </c>
      <c r="AR476" s="533">
        <f t="shared" si="489"/>
        <v>0</v>
      </c>
      <c r="AS476" s="533">
        <f t="shared" si="489"/>
        <v>0</v>
      </c>
      <c r="AT476" s="533">
        <f t="shared" si="489"/>
        <v>0</v>
      </c>
      <c r="AU476" s="533">
        <f t="shared" si="489"/>
        <v>0</v>
      </c>
      <c r="AV476" s="533">
        <f t="shared" si="489"/>
        <v>0</v>
      </c>
      <c r="AW476" s="533">
        <f t="shared" si="489"/>
        <v>0</v>
      </c>
      <c r="AX476" s="533">
        <f t="shared" si="489"/>
        <v>0</v>
      </c>
      <c r="AY476" s="533">
        <f t="shared" si="489"/>
        <v>0</v>
      </c>
    </row>
    <row r="477" spans="1:51" x14ac:dyDescent="0.2">
      <c r="A477" s="529"/>
      <c r="B477" s="393" t="s">
        <v>306</v>
      </c>
      <c r="C477" s="530"/>
      <c r="D477" s="531">
        <v>42</v>
      </c>
      <c r="E477" s="396"/>
      <c r="F477" s="532"/>
      <c r="G477" s="537">
        <f t="shared" ref="G477:AY477" si="490">G472+G473</f>
        <v>5904597</v>
      </c>
      <c r="H477" s="537">
        <f t="shared" si="490"/>
        <v>2183724</v>
      </c>
      <c r="I477" s="537">
        <f t="shared" si="490"/>
        <v>18821.089999999997</v>
      </c>
      <c r="J477" s="537">
        <f t="shared" si="490"/>
        <v>0</v>
      </c>
      <c r="K477" s="537">
        <f t="shared" si="490"/>
        <v>2033610</v>
      </c>
      <c r="L477" s="537">
        <f t="shared" si="490"/>
        <v>0</v>
      </c>
      <c r="M477" s="537">
        <f t="shared" si="490"/>
        <v>2013964</v>
      </c>
      <c r="N477" s="537">
        <f t="shared" si="490"/>
        <v>1215045</v>
      </c>
      <c r="O477" s="537">
        <f t="shared" si="490"/>
        <v>114714</v>
      </c>
      <c r="P477" s="537">
        <f t="shared" si="490"/>
        <v>0</v>
      </c>
      <c r="Q477" s="537">
        <f t="shared" si="490"/>
        <v>0</v>
      </c>
      <c r="R477" s="537">
        <f t="shared" si="490"/>
        <v>0</v>
      </c>
      <c r="S477" s="537">
        <f t="shared" si="490"/>
        <v>0</v>
      </c>
      <c r="T477" s="537">
        <f t="shared" si="490"/>
        <v>0</v>
      </c>
      <c r="U477" s="537">
        <f t="shared" si="490"/>
        <v>0</v>
      </c>
      <c r="V477" s="537">
        <f t="shared" si="490"/>
        <v>0</v>
      </c>
      <c r="W477" s="537">
        <f t="shared" si="490"/>
        <v>0</v>
      </c>
      <c r="X477" s="537">
        <f t="shared" si="490"/>
        <v>0</v>
      </c>
      <c r="Y477" s="537">
        <f t="shared" si="490"/>
        <v>0</v>
      </c>
      <c r="Z477" s="537">
        <f t="shared" si="490"/>
        <v>0</v>
      </c>
      <c r="AA477" s="537">
        <f t="shared" si="490"/>
        <v>0</v>
      </c>
      <c r="AB477" s="537">
        <f t="shared" si="490"/>
        <v>0</v>
      </c>
      <c r="AC477" s="537">
        <f t="shared" si="490"/>
        <v>0</v>
      </c>
      <c r="AD477" s="537">
        <f t="shared" si="490"/>
        <v>0</v>
      </c>
      <c r="AE477" s="537">
        <f t="shared" si="490"/>
        <v>0</v>
      </c>
      <c r="AF477" s="537">
        <f t="shared" si="490"/>
        <v>0</v>
      </c>
      <c r="AG477" s="537">
        <f t="shared" si="490"/>
        <v>0</v>
      </c>
      <c r="AH477" s="537">
        <f t="shared" si="490"/>
        <v>0</v>
      </c>
      <c r="AI477" s="537">
        <f t="shared" si="490"/>
        <v>0</v>
      </c>
      <c r="AJ477" s="537">
        <f t="shared" si="490"/>
        <v>0</v>
      </c>
      <c r="AK477" s="537">
        <f t="shared" si="490"/>
        <v>0</v>
      </c>
      <c r="AL477" s="537">
        <f t="shared" si="490"/>
        <v>0</v>
      </c>
      <c r="AM477" s="537">
        <f t="shared" si="490"/>
        <v>0</v>
      </c>
      <c r="AN477" s="538">
        <f t="shared" si="490"/>
        <v>0</v>
      </c>
      <c r="AO477" s="537">
        <f t="shared" si="490"/>
        <v>0</v>
      </c>
      <c r="AP477" s="537">
        <f t="shared" si="490"/>
        <v>0</v>
      </c>
      <c r="AQ477" s="537">
        <f t="shared" si="490"/>
        <v>0</v>
      </c>
      <c r="AR477" s="537">
        <f t="shared" si="490"/>
        <v>0</v>
      </c>
      <c r="AS477" s="537">
        <f t="shared" si="490"/>
        <v>0</v>
      </c>
      <c r="AT477" s="537">
        <f t="shared" si="490"/>
        <v>0</v>
      </c>
      <c r="AU477" s="537">
        <f t="shared" si="490"/>
        <v>0</v>
      </c>
      <c r="AV477" s="537">
        <f t="shared" si="490"/>
        <v>0</v>
      </c>
      <c r="AW477" s="537">
        <f t="shared" si="490"/>
        <v>0</v>
      </c>
      <c r="AX477" s="537">
        <f t="shared" si="490"/>
        <v>0</v>
      </c>
      <c r="AY477" s="537">
        <f t="shared" si="490"/>
        <v>0</v>
      </c>
    </row>
    <row r="478" spans="1:51" x14ac:dyDescent="0.2">
      <c r="A478" s="529"/>
      <c r="B478" s="393"/>
      <c r="C478" s="539"/>
      <c r="D478" s="531"/>
      <c r="E478" s="396"/>
      <c r="F478" s="532"/>
      <c r="G478" s="535"/>
      <c r="H478" s="535"/>
      <c r="I478" s="535"/>
      <c r="J478" s="535"/>
      <c r="K478" s="535"/>
      <c r="L478" s="535"/>
      <c r="M478" s="535"/>
      <c r="N478" s="535"/>
      <c r="O478" s="535"/>
      <c r="P478" s="535"/>
      <c r="Q478" s="535"/>
      <c r="R478" s="535"/>
      <c r="S478" s="535"/>
      <c r="T478" s="535"/>
      <c r="U478" s="535"/>
      <c r="V478" s="535"/>
      <c r="W478" s="535"/>
      <c r="X478" s="535"/>
      <c r="Y478" s="535"/>
      <c r="Z478" s="535"/>
      <c r="AA478" s="535"/>
      <c r="AB478" s="535"/>
      <c r="AC478" s="535"/>
      <c r="AD478" s="535"/>
      <c r="AE478" s="535"/>
      <c r="AF478" s="535"/>
      <c r="AG478" s="535"/>
      <c r="AH478" s="535"/>
      <c r="AI478" s="535"/>
      <c r="AJ478" s="535"/>
      <c r="AK478" s="535"/>
      <c r="AL478" s="535"/>
      <c r="AM478" s="535"/>
      <c r="AN478" s="536"/>
      <c r="AO478" s="535"/>
      <c r="AP478" s="535"/>
      <c r="AQ478" s="535"/>
      <c r="AR478" s="535"/>
      <c r="AS478" s="535"/>
      <c r="AT478" s="535"/>
      <c r="AU478" s="535"/>
      <c r="AV478" s="535"/>
      <c r="AW478" s="535"/>
      <c r="AX478" s="535"/>
      <c r="AY478" s="535"/>
    </row>
    <row r="479" spans="1:51" x14ac:dyDescent="0.2">
      <c r="B479" s="540">
        <f>K479/H479</f>
        <v>0.90651977108862236</v>
      </c>
      <c r="C479" s="377" t="s">
        <v>131</v>
      </c>
      <c r="D479" s="399">
        <f>COUNTIF($C$5:$C$132,"NEWF")</f>
        <v>7</v>
      </c>
      <c r="E479" s="503"/>
      <c r="G479" s="379">
        <f t="shared" ref="G479:AY479" si="491">G505</f>
        <v>299017</v>
      </c>
      <c r="H479" s="379">
        <f t="shared" si="491"/>
        <v>123716</v>
      </c>
      <c r="I479" s="379">
        <f t="shared" si="491"/>
        <v>2549.3000000000002</v>
      </c>
      <c r="J479" s="379">
        <f t="shared" si="491"/>
        <v>0</v>
      </c>
      <c r="K479" s="379">
        <f t="shared" si="491"/>
        <v>112151</v>
      </c>
      <c r="L479" s="379">
        <f t="shared" si="491"/>
        <v>0</v>
      </c>
      <c r="M479" s="379">
        <f t="shared" si="491"/>
        <v>113983</v>
      </c>
      <c r="N479" s="379">
        <f t="shared" si="491"/>
        <v>17996</v>
      </c>
      <c r="O479" s="379">
        <f t="shared" si="491"/>
        <v>63208</v>
      </c>
      <c r="P479" s="379">
        <f t="shared" si="491"/>
        <v>0</v>
      </c>
      <c r="Q479" s="379">
        <f t="shared" si="491"/>
        <v>0</v>
      </c>
      <c r="R479" s="379">
        <f t="shared" si="491"/>
        <v>0</v>
      </c>
      <c r="S479" s="379">
        <f t="shared" si="491"/>
        <v>0</v>
      </c>
      <c r="T479" s="379">
        <f t="shared" si="491"/>
        <v>0</v>
      </c>
      <c r="U479" s="379">
        <f t="shared" si="491"/>
        <v>0</v>
      </c>
      <c r="V479" s="379">
        <f t="shared" si="491"/>
        <v>0</v>
      </c>
      <c r="W479" s="379">
        <f t="shared" si="491"/>
        <v>0</v>
      </c>
      <c r="X479" s="379">
        <f t="shared" si="491"/>
        <v>0</v>
      </c>
      <c r="Y479" s="379">
        <f t="shared" si="491"/>
        <v>0</v>
      </c>
      <c r="Z479" s="379">
        <f t="shared" si="491"/>
        <v>0</v>
      </c>
      <c r="AA479" s="379">
        <f t="shared" si="491"/>
        <v>0</v>
      </c>
      <c r="AB479" s="379">
        <f t="shared" si="491"/>
        <v>0</v>
      </c>
      <c r="AC479" s="379">
        <f t="shared" si="491"/>
        <v>0</v>
      </c>
      <c r="AD479" s="379">
        <f t="shared" si="491"/>
        <v>0</v>
      </c>
      <c r="AE479" s="379">
        <f t="shared" si="491"/>
        <v>0</v>
      </c>
      <c r="AF479" s="379">
        <f t="shared" si="491"/>
        <v>0</v>
      </c>
      <c r="AG479" s="379">
        <f t="shared" si="491"/>
        <v>0</v>
      </c>
      <c r="AH479" s="379">
        <f t="shared" si="491"/>
        <v>0</v>
      </c>
      <c r="AI479" s="379">
        <f t="shared" si="491"/>
        <v>0</v>
      </c>
      <c r="AJ479" s="379">
        <f t="shared" si="491"/>
        <v>0</v>
      </c>
      <c r="AK479" s="379">
        <f t="shared" si="491"/>
        <v>0</v>
      </c>
      <c r="AL479" s="379">
        <f t="shared" si="491"/>
        <v>0</v>
      </c>
      <c r="AM479" s="379">
        <f t="shared" si="491"/>
        <v>0</v>
      </c>
      <c r="AN479" s="490">
        <f t="shared" si="491"/>
        <v>0</v>
      </c>
      <c r="AO479" s="379">
        <f t="shared" si="491"/>
        <v>0</v>
      </c>
      <c r="AP479" s="379">
        <f t="shared" si="491"/>
        <v>0</v>
      </c>
      <c r="AQ479" s="379">
        <f t="shared" si="491"/>
        <v>0</v>
      </c>
      <c r="AR479" s="379">
        <f t="shared" si="491"/>
        <v>0</v>
      </c>
      <c r="AS479" s="379">
        <f t="shared" si="491"/>
        <v>0</v>
      </c>
      <c r="AT479" s="379">
        <f t="shared" si="491"/>
        <v>0</v>
      </c>
      <c r="AU479" s="379">
        <f t="shared" si="491"/>
        <v>0</v>
      </c>
      <c r="AV479" s="379">
        <f t="shared" si="491"/>
        <v>0</v>
      </c>
      <c r="AW479" s="379">
        <f t="shared" si="491"/>
        <v>0</v>
      </c>
      <c r="AX479" s="379">
        <f t="shared" si="491"/>
        <v>0</v>
      </c>
      <c r="AY479" s="379">
        <f t="shared" si="491"/>
        <v>0</v>
      </c>
    </row>
    <row r="480" spans="1:51" x14ac:dyDescent="0.2">
      <c r="B480" s="540">
        <f t="shared" ref="B480:B493" si="492">K480/H480</f>
        <v>0.91017543859649119</v>
      </c>
      <c r="C480" s="376" t="s">
        <v>125</v>
      </c>
      <c r="D480" s="399">
        <f>COUNTIF($C$5:$C$132,"NIRW")</f>
        <v>12</v>
      </c>
      <c r="E480" s="503"/>
      <c r="G480" s="379">
        <f t="shared" ref="G480:AY480" si="493">G525</f>
        <v>187696</v>
      </c>
      <c r="H480" s="379">
        <f t="shared" si="493"/>
        <v>75525</v>
      </c>
      <c r="I480" s="379">
        <f t="shared" si="493"/>
        <v>4201.3500000000004</v>
      </c>
      <c r="J480" s="379">
        <f t="shared" si="493"/>
        <v>0</v>
      </c>
      <c r="K480" s="379">
        <f t="shared" si="493"/>
        <v>68741</v>
      </c>
      <c r="L480" s="379">
        <f t="shared" si="493"/>
        <v>0</v>
      </c>
      <c r="M480" s="379">
        <f t="shared" si="493"/>
        <v>63223</v>
      </c>
      <c r="N480" s="379">
        <f t="shared" si="493"/>
        <v>26551</v>
      </c>
      <c r="O480" s="379">
        <f t="shared" si="493"/>
        <v>18828</v>
      </c>
      <c r="P480" s="379">
        <f t="shared" si="493"/>
        <v>0</v>
      </c>
      <c r="Q480" s="379">
        <f t="shared" si="493"/>
        <v>0</v>
      </c>
      <c r="R480" s="379">
        <f t="shared" si="493"/>
        <v>0</v>
      </c>
      <c r="S480" s="379">
        <f t="shared" si="493"/>
        <v>0</v>
      </c>
      <c r="T480" s="379">
        <f t="shared" si="493"/>
        <v>0</v>
      </c>
      <c r="U480" s="379">
        <f t="shared" si="493"/>
        <v>0</v>
      </c>
      <c r="V480" s="379">
        <f t="shared" si="493"/>
        <v>0</v>
      </c>
      <c r="W480" s="379">
        <f t="shared" si="493"/>
        <v>0</v>
      </c>
      <c r="X480" s="379">
        <f t="shared" si="493"/>
        <v>0</v>
      </c>
      <c r="Y480" s="379">
        <f t="shared" si="493"/>
        <v>0</v>
      </c>
      <c r="Z480" s="379">
        <f t="shared" si="493"/>
        <v>0</v>
      </c>
      <c r="AA480" s="379">
        <f t="shared" si="493"/>
        <v>0</v>
      </c>
      <c r="AB480" s="379">
        <f t="shared" si="493"/>
        <v>0</v>
      </c>
      <c r="AC480" s="379">
        <f t="shared" si="493"/>
        <v>0</v>
      </c>
      <c r="AD480" s="379">
        <f t="shared" si="493"/>
        <v>0</v>
      </c>
      <c r="AE480" s="379">
        <f t="shared" si="493"/>
        <v>0</v>
      </c>
      <c r="AF480" s="379">
        <f t="shared" si="493"/>
        <v>0</v>
      </c>
      <c r="AG480" s="379">
        <f t="shared" si="493"/>
        <v>0</v>
      </c>
      <c r="AH480" s="379">
        <f t="shared" si="493"/>
        <v>0</v>
      </c>
      <c r="AI480" s="379">
        <f t="shared" si="493"/>
        <v>0</v>
      </c>
      <c r="AJ480" s="379">
        <f t="shared" si="493"/>
        <v>0</v>
      </c>
      <c r="AK480" s="379">
        <f t="shared" si="493"/>
        <v>0</v>
      </c>
      <c r="AL480" s="379">
        <f t="shared" si="493"/>
        <v>0</v>
      </c>
      <c r="AM480" s="379">
        <f t="shared" si="493"/>
        <v>0</v>
      </c>
      <c r="AN480" s="490">
        <f t="shared" si="493"/>
        <v>0</v>
      </c>
      <c r="AO480" s="379">
        <f t="shared" si="493"/>
        <v>0</v>
      </c>
      <c r="AP480" s="379">
        <f t="shared" si="493"/>
        <v>0</v>
      </c>
      <c r="AQ480" s="379">
        <f t="shared" si="493"/>
        <v>0</v>
      </c>
      <c r="AR480" s="379">
        <f t="shared" si="493"/>
        <v>0</v>
      </c>
      <c r="AS480" s="379">
        <f t="shared" si="493"/>
        <v>0</v>
      </c>
      <c r="AT480" s="379">
        <f t="shared" si="493"/>
        <v>0</v>
      </c>
      <c r="AU480" s="379">
        <f t="shared" si="493"/>
        <v>0</v>
      </c>
      <c r="AV480" s="379">
        <f t="shared" si="493"/>
        <v>0</v>
      </c>
      <c r="AW480" s="379">
        <f t="shared" si="493"/>
        <v>0</v>
      </c>
      <c r="AX480" s="379">
        <f t="shared" si="493"/>
        <v>0</v>
      </c>
      <c r="AY480" s="379">
        <f t="shared" si="493"/>
        <v>0</v>
      </c>
    </row>
    <row r="481" spans="1:51" x14ac:dyDescent="0.2">
      <c r="B481" s="540">
        <f t="shared" si="492"/>
        <v>0.81343217160222259</v>
      </c>
      <c r="C481" s="376" t="s">
        <v>294</v>
      </c>
      <c r="D481" s="399">
        <f>COUNTIF($C$5:$C$132,"MidWaste")</f>
        <v>6</v>
      </c>
      <c r="E481" s="503"/>
      <c r="G481" s="379">
        <f t="shared" ref="G481:AY481" si="494">G539</f>
        <v>307223</v>
      </c>
      <c r="H481" s="379">
        <f t="shared" si="494"/>
        <v>157294</v>
      </c>
      <c r="I481" s="379">
        <f t="shared" si="494"/>
        <v>3105.33</v>
      </c>
      <c r="J481" s="379">
        <f t="shared" si="494"/>
        <v>0</v>
      </c>
      <c r="K481" s="379">
        <f t="shared" si="494"/>
        <v>127948</v>
      </c>
      <c r="L481" s="379">
        <f t="shared" si="494"/>
        <v>0</v>
      </c>
      <c r="M481" s="379">
        <f t="shared" si="494"/>
        <v>124041</v>
      </c>
      <c r="N481" s="379">
        <f t="shared" si="494"/>
        <v>36156</v>
      </c>
      <c r="O481" s="379">
        <f t="shared" si="494"/>
        <v>80092</v>
      </c>
      <c r="P481" s="379">
        <f t="shared" si="494"/>
        <v>0</v>
      </c>
      <c r="Q481" s="379">
        <f t="shared" si="494"/>
        <v>0</v>
      </c>
      <c r="R481" s="379">
        <f t="shared" si="494"/>
        <v>0</v>
      </c>
      <c r="S481" s="379">
        <f t="shared" si="494"/>
        <v>0</v>
      </c>
      <c r="T481" s="379">
        <f t="shared" si="494"/>
        <v>0</v>
      </c>
      <c r="U481" s="379">
        <f t="shared" si="494"/>
        <v>0</v>
      </c>
      <c r="V481" s="379">
        <f t="shared" si="494"/>
        <v>0</v>
      </c>
      <c r="W481" s="379">
        <f t="shared" si="494"/>
        <v>0</v>
      </c>
      <c r="X481" s="379">
        <f t="shared" si="494"/>
        <v>0</v>
      </c>
      <c r="Y481" s="379">
        <f t="shared" si="494"/>
        <v>0</v>
      </c>
      <c r="Z481" s="379">
        <f t="shared" si="494"/>
        <v>0</v>
      </c>
      <c r="AA481" s="379">
        <f t="shared" si="494"/>
        <v>0</v>
      </c>
      <c r="AB481" s="379">
        <f t="shared" si="494"/>
        <v>0</v>
      </c>
      <c r="AC481" s="379">
        <f t="shared" si="494"/>
        <v>0</v>
      </c>
      <c r="AD481" s="379">
        <f t="shared" si="494"/>
        <v>0</v>
      </c>
      <c r="AE481" s="379">
        <f t="shared" si="494"/>
        <v>0</v>
      </c>
      <c r="AF481" s="379">
        <f t="shared" si="494"/>
        <v>0</v>
      </c>
      <c r="AG481" s="379">
        <f t="shared" si="494"/>
        <v>0</v>
      </c>
      <c r="AH481" s="379">
        <f t="shared" si="494"/>
        <v>0</v>
      </c>
      <c r="AI481" s="379">
        <f t="shared" si="494"/>
        <v>0</v>
      </c>
      <c r="AJ481" s="379">
        <f t="shared" si="494"/>
        <v>0</v>
      </c>
      <c r="AK481" s="379">
        <f t="shared" si="494"/>
        <v>0</v>
      </c>
      <c r="AL481" s="379">
        <f t="shared" si="494"/>
        <v>0</v>
      </c>
      <c r="AM481" s="379">
        <f t="shared" si="494"/>
        <v>0</v>
      </c>
      <c r="AN481" s="490">
        <f t="shared" si="494"/>
        <v>0</v>
      </c>
      <c r="AO481" s="379">
        <f t="shared" si="494"/>
        <v>0</v>
      </c>
      <c r="AP481" s="379">
        <f t="shared" si="494"/>
        <v>0</v>
      </c>
      <c r="AQ481" s="379">
        <f t="shared" si="494"/>
        <v>0</v>
      </c>
      <c r="AR481" s="379">
        <f t="shared" si="494"/>
        <v>0</v>
      </c>
      <c r="AS481" s="379">
        <f t="shared" si="494"/>
        <v>0</v>
      </c>
      <c r="AT481" s="379">
        <f t="shared" si="494"/>
        <v>0</v>
      </c>
      <c r="AU481" s="379">
        <f t="shared" si="494"/>
        <v>0</v>
      </c>
      <c r="AV481" s="379">
        <f t="shared" si="494"/>
        <v>0</v>
      </c>
      <c r="AW481" s="379">
        <f t="shared" si="494"/>
        <v>0</v>
      </c>
      <c r="AX481" s="379">
        <f t="shared" si="494"/>
        <v>0</v>
      </c>
      <c r="AY481" s="379">
        <f t="shared" si="494"/>
        <v>0</v>
      </c>
    </row>
    <row r="482" spans="1:51" x14ac:dyDescent="0.2">
      <c r="B482" s="540">
        <f t="shared" si="492"/>
        <v>0.78854235359530367</v>
      </c>
      <c r="C482" s="376" t="s">
        <v>293</v>
      </c>
      <c r="D482" s="399">
        <f>COUNTIF($C$5:$C$132,"NetWaste")</f>
        <v>25</v>
      </c>
      <c r="E482" s="503"/>
      <c r="G482" s="379">
        <f t="shared" ref="G482:AY482" si="495">G572</f>
        <v>325542</v>
      </c>
      <c r="H482" s="379">
        <f t="shared" si="495"/>
        <v>154674</v>
      </c>
      <c r="I482" s="379">
        <f t="shared" si="495"/>
        <v>8482.3799999999992</v>
      </c>
      <c r="J482" s="379">
        <f t="shared" si="495"/>
        <v>0</v>
      </c>
      <c r="K482" s="379">
        <f t="shared" si="495"/>
        <v>121967</v>
      </c>
      <c r="L482" s="379">
        <f t="shared" si="495"/>
        <v>0</v>
      </c>
      <c r="M482" s="379">
        <f t="shared" si="495"/>
        <v>98375</v>
      </c>
      <c r="N482" s="379">
        <f t="shared" si="495"/>
        <v>1272</v>
      </c>
      <c r="O482" s="379">
        <f t="shared" si="495"/>
        <v>41297</v>
      </c>
      <c r="P482" s="379">
        <f t="shared" si="495"/>
        <v>0</v>
      </c>
      <c r="Q482" s="379">
        <f t="shared" si="495"/>
        <v>0</v>
      </c>
      <c r="R482" s="379">
        <f t="shared" si="495"/>
        <v>0</v>
      </c>
      <c r="S482" s="379">
        <f t="shared" si="495"/>
        <v>0</v>
      </c>
      <c r="T482" s="379">
        <f t="shared" si="495"/>
        <v>0</v>
      </c>
      <c r="U482" s="379">
        <f t="shared" si="495"/>
        <v>0</v>
      </c>
      <c r="V482" s="379">
        <f t="shared" si="495"/>
        <v>0</v>
      </c>
      <c r="W482" s="379">
        <f t="shared" si="495"/>
        <v>0</v>
      </c>
      <c r="X482" s="379">
        <f t="shared" si="495"/>
        <v>0</v>
      </c>
      <c r="Y482" s="379">
        <f t="shared" si="495"/>
        <v>0</v>
      </c>
      <c r="Z482" s="379">
        <f t="shared" si="495"/>
        <v>0</v>
      </c>
      <c r="AA482" s="379">
        <f t="shared" si="495"/>
        <v>0</v>
      </c>
      <c r="AB482" s="379">
        <f t="shared" si="495"/>
        <v>0</v>
      </c>
      <c r="AC482" s="379">
        <f t="shared" si="495"/>
        <v>0</v>
      </c>
      <c r="AD482" s="379">
        <f t="shared" si="495"/>
        <v>0</v>
      </c>
      <c r="AE482" s="379">
        <f t="shared" si="495"/>
        <v>0</v>
      </c>
      <c r="AF482" s="379">
        <f t="shared" si="495"/>
        <v>0</v>
      </c>
      <c r="AG482" s="379">
        <f t="shared" si="495"/>
        <v>0</v>
      </c>
      <c r="AH482" s="379">
        <f t="shared" si="495"/>
        <v>0</v>
      </c>
      <c r="AI482" s="379">
        <f t="shared" si="495"/>
        <v>0</v>
      </c>
      <c r="AJ482" s="379">
        <f t="shared" si="495"/>
        <v>0</v>
      </c>
      <c r="AK482" s="379">
        <f t="shared" si="495"/>
        <v>0</v>
      </c>
      <c r="AL482" s="379">
        <f t="shared" si="495"/>
        <v>0</v>
      </c>
      <c r="AM482" s="379">
        <f t="shared" si="495"/>
        <v>0</v>
      </c>
      <c r="AN482" s="490">
        <f t="shared" si="495"/>
        <v>0</v>
      </c>
      <c r="AO482" s="379">
        <f t="shared" si="495"/>
        <v>0</v>
      </c>
      <c r="AP482" s="379">
        <f t="shared" si="495"/>
        <v>0</v>
      </c>
      <c r="AQ482" s="379">
        <f t="shared" si="495"/>
        <v>0</v>
      </c>
      <c r="AR482" s="379">
        <f t="shared" si="495"/>
        <v>0</v>
      </c>
      <c r="AS482" s="379">
        <f t="shared" si="495"/>
        <v>0</v>
      </c>
      <c r="AT482" s="379">
        <f t="shared" si="495"/>
        <v>0</v>
      </c>
      <c r="AU482" s="379">
        <f t="shared" si="495"/>
        <v>0</v>
      </c>
      <c r="AV482" s="379">
        <f t="shared" si="495"/>
        <v>0</v>
      </c>
      <c r="AW482" s="379">
        <f t="shared" si="495"/>
        <v>0</v>
      </c>
      <c r="AX482" s="379">
        <f t="shared" si="495"/>
        <v>0</v>
      </c>
      <c r="AY482" s="379">
        <f t="shared" si="495"/>
        <v>0</v>
      </c>
    </row>
    <row r="483" spans="1:51" x14ac:dyDescent="0.2">
      <c r="B483" s="540">
        <f t="shared" si="492"/>
        <v>0.89550008620524513</v>
      </c>
      <c r="C483" s="376" t="s">
        <v>142</v>
      </c>
      <c r="D483" s="399">
        <f>COUNTIF($C$5:$C$132,"REROC")</f>
        <v>9</v>
      </c>
      <c r="E483" s="503"/>
      <c r="G483" s="379">
        <f t="shared" ref="G483:AY483" si="496">G589</f>
        <v>126939</v>
      </c>
      <c r="H483" s="379">
        <f t="shared" si="496"/>
        <v>52201</v>
      </c>
      <c r="I483" s="379">
        <f t="shared" si="496"/>
        <v>2789.5</v>
      </c>
      <c r="J483" s="379">
        <f t="shared" si="496"/>
        <v>0</v>
      </c>
      <c r="K483" s="379">
        <f t="shared" si="496"/>
        <v>46746</v>
      </c>
      <c r="L483" s="379">
        <f t="shared" si="496"/>
        <v>0</v>
      </c>
      <c r="M483" s="379">
        <f t="shared" si="496"/>
        <v>42358</v>
      </c>
      <c r="N483" s="379">
        <f t="shared" si="496"/>
        <v>26998</v>
      </c>
      <c r="O483" s="379">
        <f t="shared" si="496"/>
        <v>3782</v>
      </c>
      <c r="P483" s="379">
        <f t="shared" si="496"/>
        <v>0</v>
      </c>
      <c r="Q483" s="379">
        <f t="shared" si="496"/>
        <v>0</v>
      </c>
      <c r="R483" s="379">
        <f t="shared" si="496"/>
        <v>0</v>
      </c>
      <c r="S483" s="379">
        <f t="shared" si="496"/>
        <v>0</v>
      </c>
      <c r="T483" s="379">
        <f t="shared" si="496"/>
        <v>0</v>
      </c>
      <c r="U483" s="379">
        <f t="shared" si="496"/>
        <v>0</v>
      </c>
      <c r="V483" s="379">
        <f t="shared" si="496"/>
        <v>0</v>
      </c>
      <c r="W483" s="379">
        <f t="shared" si="496"/>
        <v>0</v>
      </c>
      <c r="X483" s="379">
        <f t="shared" si="496"/>
        <v>0</v>
      </c>
      <c r="Y483" s="379">
        <f t="shared" si="496"/>
        <v>0</v>
      </c>
      <c r="Z483" s="379">
        <f t="shared" si="496"/>
        <v>0</v>
      </c>
      <c r="AA483" s="379">
        <f t="shared" si="496"/>
        <v>0</v>
      </c>
      <c r="AB483" s="379">
        <f t="shared" si="496"/>
        <v>0</v>
      </c>
      <c r="AC483" s="379">
        <f t="shared" si="496"/>
        <v>0</v>
      </c>
      <c r="AD483" s="379">
        <f t="shared" si="496"/>
        <v>0</v>
      </c>
      <c r="AE483" s="379">
        <f t="shared" si="496"/>
        <v>0</v>
      </c>
      <c r="AF483" s="379">
        <f t="shared" si="496"/>
        <v>0</v>
      </c>
      <c r="AG483" s="379">
        <f t="shared" si="496"/>
        <v>0</v>
      </c>
      <c r="AH483" s="379">
        <f t="shared" si="496"/>
        <v>0</v>
      </c>
      <c r="AI483" s="379">
        <f t="shared" si="496"/>
        <v>0</v>
      </c>
      <c r="AJ483" s="379">
        <f t="shared" si="496"/>
        <v>0</v>
      </c>
      <c r="AK483" s="379">
        <f t="shared" si="496"/>
        <v>0</v>
      </c>
      <c r="AL483" s="379">
        <f t="shared" si="496"/>
        <v>0</v>
      </c>
      <c r="AM483" s="379">
        <f t="shared" si="496"/>
        <v>0</v>
      </c>
      <c r="AN483" s="490">
        <f t="shared" si="496"/>
        <v>0</v>
      </c>
      <c r="AO483" s="379">
        <f t="shared" si="496"/>
        <v>0</v>
      </c>
      <c r="AP483" s="379">
        <f t="shared" si="496"/>
        <v>0</v>
      </c>
      <c r="AQ483" s="379">
        <f t="shared" si="496"/>
        <v>0</v>
      </c>
      <c r="AR483" s="379">
        <f t="shared" si="496"/>
        <v>0</v>
      </c>
      <c r="AS483" s="379">
        <f t="shared" si="496"/>
        <v>0</v>
      </c>
      <c r="AT483" s="379">
        <f t="shared" si="496"/>
        <v>0</v>
      </c>
      <c r="AU483" s="379">
        <f t="shared" si="496"/>
        <v>0</v>
      </c>
      <c r="AV483" s="379">
        <f t="shared" si="496"/>
        <v>0</v>
      </c>
      <c r="AW483" s="379">
        <f t="shared" si="496"/>
        <v>0</v>
      </c>
      <c r="AX483" s="379">
        <f t="shared" si="496"/>
        <v>0</v>
      </c>
      <c r="AY483" s="379">
        <f t="shared" si="496"/>
        <v>0</v>
      </c>
    </row>
    <row r="484" spans="1:51" x14ac:dyDescent="0.2">
      <c r="B484" s="540">
        <f t="shared" si="492"/>
        <v>0.92547779458270318</v>
      </c>
      <c r="C484" s="376" t="s">
        <v>160</v>
      </c>
      <c r="D484" s="399">
        <f>COUNTIF($C$5:$C$132,"RAMROC Riverina")</f>
        <v>6</v>
      </c>
      <c r="E484" s="503"/>
      <c r="G484" s="379">
        <f t="shared" ref="G484:AY484" si="497">G603</f>
        <v>53536</v>
      </c>
      <c r="H484" s="379">
        <f t="shared" si="497"/>
        <v>21819</v>
      </c>
      <c r="I484" s="379">
        <f t="shared" si="497"/>
        <v>1162.5</v>
      </c>
      <c r="J484" s="379">
        <f t="shared" si="497"/>
        <v>0</v>
      </c>
      <c r="K484" s="379">
        <f t="shared" si="497"/>
        <v>20193</v>
      </c>
      <c r="L484" s="379">
        <f t="shared" si="497"/>
        <v>0</v>
      </c>
      <c r="M484" s="379">
        <f t="shared" si="497"/>
        <v>14657</v>
      </c>
      <c r="N484" s="379">
        <f t="shared" si="497"/>
        <v>0</v>
      </c>
      <c r="O484" s="379">
        <f t="shared" si="497"/>
        <v>0</v>
      </c>
      <c r="P484" s="379">
        <f t="shared" si="497"/>
        <v>0</v>
      </c>
      <c r="Q484" s="379">
        <f t="shared" si="497"/>
        <v>0</v>
      </c>
      <c r="R484" s="379">
        <f t="shared" si="497"/>
        <v>0</v>
      </c>
      <c r="S484" s="379">
        <f t="shared" si="497"/>
        <v>0</v>
      </c>
      <c r="T484" s="379">
        <f t="shared" si="497"/>
        <v>0</v>
      </c>
      <c r="U484" s="379">
        <f t="shared" si="497"/>
        <v>0</v>
      </c>
      <c r="V484" s="379">
        <f t="shared" si="497"/>
        <v>0</v>
      </c>
      <c r="W484" s="379">
        <f t="shared" si="497"/>
        <v>0</v>
      </c>
      <c r="X484" s="379">
        <f t="shared" si="497"/>
        <v>0</v>
      </c>
      <c r="Y484" s="379">
        <f t="shared" si="497"/>
        <v>0</v>
      </c>
      <c r="Z484" s="379">
        <f t="shared" si="497"/>
        <v>0</v>
      </c>
      <c r="AA484" s="379">
        <f t="shared" si="497"/>
        <v>0</v>
      </c>
      <c r="AB484" s="379">
        <f t="shared" si="497"/>
        <v>0</v>
      </c>
      <c r="AC484" s="379">
        <f t="shared" si="497"/>
        <v>0</v>
      </c>
      <c r="AD484" s="379">
        <f t="shared" si="497"/>
        <v>0</v>
      </c>
      <c r="AE484" s="379">
        <f t="shared" si="497"/>
        <v>0</v>
      </c>
      <c r="AF484" s="379">
        <f t="shared" si="497"/>
        <v>0</v>
      </c>
      <c r="AG484" s="379">
        <f t="shared" si="497"/>
        <v>0</v>
      </c>
      <c r="AH484" s="379">
        <f t="shared" si="497"/>
        <v>0</v>
      </c>
      <c r="AI484" s="379">
        <f t="shared" si="497"/>
        <v>0</v>
      </c>
      <c r="AJ484" s="379">
        <f t="shared" si="497"/>
        <v>0</v>
      </c>
      <c r="AK484" s="379">
        <f t="shared" si="497"/>
        <v>0</v>
      </c>
      <c r="AL484" s="379">
        <f t="shared" si="497"/>
        <v>0</v>
      </c>
      <c r="AM484" s="379">
        <f t="shared" si="497"/>
        <v>0</v>
      </c>
      <c r="AN484" s="490">
        <f t="shared" si="497"/>
        <v>0</v>
      </c>
      <c r="AO484" s="379">
        <f t="shared" si="497"/>
        <v>0</v>
      </c>
      <c r="AP484" s="379">
        <f t="shared" si="497"/>
        <v>0</v>
      </c>
      <c r="AQ484" s="379">
        <f t="shared" si="497"/>
        <v>0</v>
      </c>
      <c r="AR484" s="379">
        <f t="shared" si="497"/>
        <v>0</v>
      </c>
      <c r="AS484" s="379">
        <f t="shared" si="497"/>
        <v>0</v>
      </c>
      <c r="AT484" s="379">
        <f t="shared" si="497"/>
        <v>0</v>
      </c>
      <c r="AU484" s="379">
        <f t="shared" si="497"/>
        <v>0</v>
      </c>
      <c r="AV484" s="379">
        <f t="shared" si="497"/>
        <v>0</v>
      </c>
      <c r="AW484" s="379">
        <f t="shared" si="497"/>
        <v>0</v>
      </c>
      <c r="AX484" s="379">
        <f t="shared" si="497"/>
        <v>0</v>
      </c>
      <c r="AY484" s="379">
        <f t="shared" si="497"/>
        <v>0</v>
      </c>
    </row>
    <row r="485" spans="1:51" x14ac:dyDescent="0.2">
      <c r="B485" s="540">
        <f t="shared" si="492"/>
        <v>0.79120754823689099</v>
      </c>
      <c r="C485" s="376" t="s">
        <v>137</v>
      </c>
      <c r="D485" s="399">
        <f>COUNTIF($C$5:$C$132,"CBRJO")</f>
        <v>8</v>
      </c>
      <c r="E485" s="503"/>
      <c r="G485" s="379">
        <f t="shared" ref="G485:AY485" si="498">G619</f>
        <v>223570</v>
      </c>
      <c r="H485" s="379">
        <f t="shared" si="498"/>
        <v>106091</v>
      </c>
      <c r="I485" s="379">
        <f t="shared" si="498"/>
        <v>2789.3</v>
      </c>
      <c r="J485" s="379">
        <f t="shared" si="498"/>
        <v>0</v>
      </c>
      <c r="K485" s="379">
        <f t="shared" si="498"/>
        <v>83940</v>
      </c>
      <c r="L485" s="379">
        <f t="shared" si="498"/>
        <v>0</v>
      </c>
      <c r="M485" s="379">
        <f t="shared" si="498"/>
        <v>89148</v>
      </c>
      <c r="N485" s="379">
        <f t="shared" si="498"/>
        <v>50919</v>
      </c>
      <c r="O485" s="379">
        <f t="shared" si="498"/>
        <v>10466</v>
      </c>
      <c r="P485" s="379">
        <f t="shared" si="498"/>
        <v>0</v>
      </c>
      <c r="Q485" s="379">
        <f t="shared" si="498"/>
        <v>0</v>
      </c>
      <c r="R485" s="379">
        <f t="shared" si="498"/>
        <v>0</v>
      </c>
      <c r="S485" s="379">
        <f t="shared" si="498"/>
        <v>0</v>
      </c>
      <c r="T485" s="379">
        <f t="shared" si="498"/>
        <v>0</v>
      </c>
      <c r="U485" s="379">
        <f t="shared" si="498"/>
        <v>0</v>
      </c>
      <c r="V485" s="379">
        <f t="shared" si="498"/>
        <v>0</v>
      </c>
      <c r="W485" s="379">
        <f t="shared" si="498"/>
        <v>0</v>
      </c>
      <c r="X485" s="379">
        <f t="shared" si="498"/>
        <v>0</v>
      </c>
      <c r="Y485" s="379">
        <f t="shared" si="498"/>
        <v>0</v>
      </c>
      <c r="Z485" s="379">
        <f t="shared" si="498"/>
        <v>0</v>
      </c>
      <c r="AA485" s="379">
        <f t="shared" si="498"/>
        <v>0</v>
      </c>
      <c r="AB485" s="379">
        <f t="shared" si="498"/>
        <v>0</v>
      </c>
      <c r="AC485" s="379">
        <f t="shared" si="498"/>
        <v>0</v>
      </c>
      <c r="AD485" s="379">
        <f t="shared" si="498"/>
        <v>0</v>
      </c>
      <c r="AE485" s="379">
        <f t="shared" si="498"/>
        <v>0</v>
      </c>
      <c r="AF485" s="379">
        <f t="shared" si="498"/>
        <v>0</v>
      </c>
      <c r="AG485" s="379">
        <f t="shared" si="498"/>
        <v>0</v>
      </c>
      <c r="AH485" s="379">
        <f t="shared" si="498"/>
        <v>0</v>
      </c>
      <c r="AI485" s="379">
        <f t="shared" si="498"/>
        <v>0</v>
      </c>
      <c r="AJ485" s="379">
        <f t="shared" si="498"/>
        <v>0</v>
      </c>
      <c r="AK485" s="379">
        <f t="shared" si="498"/>
        <v>0</v>
      </c>
      <c r="AL485" s="379">
        <f t="shared" si="498"/>
        <v>0</v>
      </c>
      <c r="AM485" s="379">
        <f t="shared" si="498"/>
        <v>0</v>
      </c>
      <c r="AN485" s="490">
        <f t="shared" si="498"/>
        <v>0</v>
      </c>
      <c r="AO485" s="379">
        <f t="shared" si="498"/>
        <v>0</v>
      </c>
      <c r="AP485" s="379">
        <f t="shared" si="498"/>
        <v>0</v>
      </c>
      <c r="AQ485" s="379">
        <f t="shared" si="498"/>
        <v>0</v>
      </c>
      <c r="AR485" s="379">
        <f t="shared" si="498"/>
        <v>0</v>
      </c>
      <c r="AS485" s="379">
        <f t="shared" si="498"/>
        <v>0</v>
      </c>
      <c r="AT485" s="379">
        <f t="shared" si="498"/>
        <v>0</v>
      </c>
      <c r="AU485" s="379">
        <f t="shared" si="498"/>
        <v>0</v>
      </c>
      <c r="AV485" s="379">
        <f t="shared" si="498"/>
        <v>0</v>
      </c>
      <c r="AW485" s="379">
        <f t="shared" si="498"/>
        <v>0</v>
      </c>
      <c r="AX485" s="379">
        <f t="shared" si="498"/>
        <v>0</v>
      </c>
      <c r="AY485" s="379">
        <f t="shared" si="498"/>
        <v>0</v>
      </c>
    </row>
    <row r="486" spans="1:51" x14ac:dyDescent="0.2">
      <c r="B486" s="540">
        <f t="shared" si="492"/>
        <v>0.99386380754064951</v>
      </c>
      <c r="C486" s="376" t="s">
        <v>123</v>
      </c>
      <c r="D486" s="399">
        <f>COUNTIF($C$5:$C$132,"RAMROC Murray")</f>
        <v>7</v>
      </c>
      <c r="E486" s="503"/>
      <c r="G486" s="379">
        <f>G634</f>
        <v>103219</v>
      </c>
      <c r="H486" s="379">
        <f t="shared" ref="H486:AY486" si="499">H634</f>
        <v>45142</v>
      </c>
      <c r="I486" s="379">
        <f t="shared" si="499"/>
        <v>1871.49</v>
      </c>
      <c r="J486" s="379">
        <f t="shared" si="499"/>
        <v>0</v>
      </c>
      <c r="K486" s="379">
        <f t="shared" si="499"/>
        <v>44865</v>
      </c>
      <c r="L486" s="379">
        <f t="shared" si="499"/>
        <v>0</v>
      </c>
      <c r="M486" s="379">
        <f t="shared" si="499"/>
        <v>37106</v>
      </c>
      <c r="N486" s="379">
        <f t="shared" si="499"/>
        <v>0</v>
      </c>
      <c r="O486" s="379">
        <f t="shared" si="499"/>
        <v>29022</v>
      </c>
      <c r="P486" s="379">
        <f t="shared" si="499"/>
        <v>0</v>
      </c>
      <c r="Q486" s="379">
        <f t="shared" si="499"/>
        <v>0</v>
      </c>
      <c r="R486" s="379">
        <f t="shared" si="499"/>
        <v>0</v>
      </c>
      <c r="S486" s="379">
        <f t="shared" si="499"/>
        <v>0</v>
      </c>
      <c r="T486" s="379">
        <f t="shared" si="499"/>
        <v>0</v>
      </c>
      <c r="U486" s="379">
        <f t="shared" si="499"/>
        <v>0</v>
      </c>
      <c r="V486" s="379">
        <f t="shared" si="499"/>
        <v>0</v>
      </c>
      <c r="W486" s="379">
        <f t="shared" si="499"/>
        <v>0</v>
      </c>
      <c r="X486" s="379">
        <f t="shared" si="499"/>
        <v>0</v>
      </c>
      <c r="Y486" s="379">
        <f t="shared" si="499"/>
        <v>0</v>
      </c>
      <c r="Z486" s="379">
        <f t="shared" si="499"/>
        <v>0</v>
      </c>
      <c r="AA486" s="379">
        <f t="shared" si="499"/>
        <v>0</v>
      </c>
      <c r="AB486" s="379">
        <f t="shared" si="499"/>
        <v>0</v>
      </c>
      <c r="AC486" s="379">
        <f t="shared" si="499"/>
        <v>0</v>
      </c>
      <c r="AD486" s="379">
        <f t="shared" si="499"/>
        <v>0</v>
      </c>
      <c r="AE486" s="379">
        <f t="shared" si="499"/>
        <v>0</v>
      </c>
      <c r="AF486" s="379">
        <f t="shared" si="499"/>
        <v>0</v>
      </c>
      <c r="AG486" s="379">
        <f t="shared" si="499"/>
        <v>0</v>
      </c>
      <c r="AH486" s="379">
        <f t="shared" si="499"/>
        <v>0</v>
      </c>
      <c r="AI486" s="379">
        <f t="shared" si="499"/>
        <v>0</v>
      </c>
      <c r="AJ486" s="379">
        <f t="shared" si="499"/>
        <v>0</v>
      </c>
      <c r="AK486" s="379">
        <f t="shared" si="499"/>
        <v>0</v>
      </c>
      <c r="AL486" s="379">
        <f t="shared" si="499"/>
        <v>0</v>
      </c>
      <c r="AM486" s="379">
        <f t="shared" si="499"/>
        <v>0</v>
      </c>
      <c r="AN486" s="490">
        <f t="shared" si="499"/>
        <v>0</v>
      </c>
      <c r="AO486" s="379">
        <f t="shared" si="499"/>
        <v>0</v>
      </c>
      <c r="AP486" s="379">
        <f t="shared" si="499"/>
        <v>0</v>
      </c>
      <c r="AQ486" s="379">
        <f t="shared" si="499"/>
        <v>0</v>
      </c>
      <c r="AR486" s="379">
        <f t="shared" si="499"/>
        <v>0</v>
      </c>
      <c r="AS486" s="379">
        <f t="shared" si="499"/>
        <v>0</v>
      </c>
      <c r="AT486" s="379">
        <f t="shared" si="499"/>
        <v>0</v>
      </c>
      <c r="AU486" s="379">
        <f t="shared" si="499"/>
        <v>0</v>
      </c>
      <c r="AV486" s="379">
        <f t="shared" si="499"/>
        <v>0</v>
      </c>
      <c r="AW486" s="379">
        <f t="shared" si="499"/>
        <v>0</v>
      </c>
      <c r="AX486" s="379">
        <f t="shared" si="499"/>
        <v>0</v>
      </c>
      <c r="AY486" s="379">
        <f t="shared" si="499"/>
        <v>0</v>
      </c>
    </row>
    <row r="487" spans="1:51" x14ac:dyDescent="0.2">
      <c r="B487" s="540">
        <f t="shared" si="492"/>
        <v>0.99688226008611147</v>
      </c>
      <c r="C487" s="376" t="s">
        <v>163</v>
      </c>
      <c r="D487" s="399">
        <f>COUNTIF($C$5:$C$132,"Hunter")</f>
        <v>10</v>
      </c>
      <c r="E487" s="503"/>
      <c r="G487" s="379">
        <f>G652</f>
        <v>974725</v>
      </c>
      <c r="H487" s="379">
        <f t="shared" ref="H487:AY487" si="500">H652</f>
        <v>381366</v>
      </c>
      <c r="I487" s="379">
        <f t="shared" si="500"/>
        <v>4247.34</v>
      </c>
      <c r="J487" s="379">
        <f t="shared" si="500"/>
        <v>0</v>
      </c>
      <c r="K487" s="379">
        <f t="shared" si="500"/>
        <v>380177</v>
      </c>
      <c r="L487" s="379">
        <f t="shared" si="500"/>
        <v>0</v>
      </c>
      <c r="M487" s="379">
        <f t="shared" si="500"/>
        <v>380791</v>
      </c>
      <c r="N487" s="379">
        <f t="shared" si="500"/>
        <v>327781</v>
      </c>
      <c r="O487" s="379">
        <f t="shared" si="500"/>
        <v>0</v>
      </c>
      <c r="P487" s="379">
        <f t="shared" si="500"/>
        <v>0</v>
      </c>
      <c r="Q487" s="379">
        <f t="shared" si="500"/>
        <v>0</v>
      </c>
      <c r="R487" s="379">
        <f t="shared" si="500"/>
        <v>0</v>
      </c>
      <c r="S487" s="379">
        <f t="shared" si="500"/>
        <v>0</v>
      </c>
      <c r="T487" s="379">
        <f t="shared" si="500"/>
        <v>0</v>
      </c>
      <c r="U487" s="379">
        <f t="shared" si="500"/>
        <v>0</v>
      </c>
      <c r="V487" s="379">
        <f t="shared" si="500"/>
        <v>0</v>
      </c>
      <c r="W487" s="379">
        <f t="shared" si="500"/>
        <v>0</v>
      </c>
      <c r="X487" s="379">
        <f t="shared" si="500"/>
        <v>0</v>
      </c>
      <c r="Y487" s="379">
        <f t="shared" si="500"/>
        <v>0</v>
      </c>
      <c r="Z487" s="379">
        <f t="shared" si="500"/>
        <v>0</v>
      </c>
      <c r="AA487" s="379">
        <f t="shared" si="500"/>
        <v>0</v>
      </c>
      <c r="AB487" s="379">
        <f t="shared" si="500"/>
        <v>0</v>
      </c>
      <c r="AC487" s="379">
        <f t="shared" si="500"/>
        <v>0</v>
      </c>
      <c r="AD487" s="379">
        <f t="shared" si="500"/>
        <v>0</v>
      </c>
      <c r="AE487" s="379">
        <f t="shared" si="500"/>
        <v>0</v>
      </c>
      <c r="AF487" s="379">
        <f t="shared" si="500"/>
        <v>0</v>
      </c>
      <c r="AG487" s="379">
        <f t="shared" si="500"/>
        <v>0</v>
      </c>
      <c r="AH487" s="379">
        <f t="shared" si="500"/>
        <v>0</v>
      </c>
      <c r="AI487" s="379">
        <f t="shared" si="500"/>
        <v>0</v>
      </c>
      <c r="AJ487" s="379">
        <f t="shared" si="500"/>
        <v>0</v>
      </c>
      <c r="AK487" s="379">
        <f t="shared" si="500"/>
        <v>0</v>
      </c>
      <c r="AL487" s="379">
        <f t="shared" si="500"/>
        <v>0</v>
      </c>
      <c r="AM487" s="379">
        <f t="shared" si="500"/>
        <v>0</v>
      </c>
      <c r="AN487" s="490">
        <f t="shared" si="500"/>
        <v>0</v>
      </c>
      <c r="AO487" s="379">
        <f t="shared" si="500"/>
        <v>0</v>
      </c>
      <c r="AP487" s="379">
        <f t="shared" si="500"/>
        <v>0</v>
      </c>
      <c r="AQ487" s="379">
        <f t="shared" si="500"/>
        <v>0</v>
      </c>
      <c r="AR487" s="379">
        <f t="shared" si="500"/>
        <v>0</v>
      </c>
      <c r="AS487" s="379">
        <f t="shared" si="500"/>
        <v>0</v>
      </c>
      <c r="AT487" s="379">
        <f t="shared" si="500"/>
        <v>0</v>
      </c>
      <c r="AU487" s="379">
        <f t="shared" si="500"/>
        <v>0</v>
      </c>
      <c r="AV487" s="379">
        <f t="shared" si="500"/>
        <v>0</v>
      </c>
      <c r="AW487" s="379">
        <f t="shared" si="500"/>
        <v>0</v>
      </c>
      <c r="AX487" s="379">
        <f t="shared" si="500"/>
        <v>0</v>
      </c>
      <c r="AY487" s="379">
        <f t="shared" si="500"/>
        <v>0</v>
      </c>
    </row>
    <row r="488" spans="1:51" x14ac:dyDescent="0.2">
      <c r="B488" s="540">
        <f t="shared" si="492"/>
        <v>0.86669081982728025</v>
      </c>
      <c r="C488" s="376" t="s">
        <v>127</v>
      </c>
      <c r="D488" s="399">
        <f>COUNTIF($C$5:$C$132,"SSROC")</f>
        <v>11</v>
      </c>
      <c r="E488" s="503"/>
      <c r="G488" s="379">
        <f>G671</f>
        <v>1705489</v>
      </c>
      <c r="H488" s="379">
        <f t="shared" ref="H488:AY488" si="501">H671</f>
        <v>676240</v>
      </c>
      <c r="I488" s="379">
        <f t="shared" si="501"/>
        <v>4862.42</v>
      </c>
      <c r="J488" s="379">
        <f t="shared" si="501"/>
        <v>0</v>
      </c>
      <c r="K488" s="379">
        <f t="shared" si="501"/>
        <v>586091</v>
      </c>
      <c r="L488" s="379">
        <f t="shared" si="501"/>
        <v>0</v>
      </c>
      <c r="M488" s="379">
        <f t="shared" si="501"/>
        <v>567475</v>
      </c>
      <c r="N488" s="379">
        <f t="shared" si="501"/>
        <v>305065</v>
      </c>
      <c r="O488" s="379">
        <f t="shared" si="501"/>
        <v>25373</v>
      </c>
      <c r="P488" s="379">
        <f t="shared" si="501"/>
        <v>0</v>
      </c>
      <c r="Q488" s="379">
        <f t="shared" si="501"/>
        <v>0</v>
      </c>
      <c r="R488" s="379">
        <f t="shared" si="501"/>
        <v>0</v>
      </c>
      <c r="S488" s="379">
        <f t="shared" si="501"/>
        <v>0</v>
      </c>
      <c r="T488" s="379">
        <f t="shared" si="501"/>
        <v>0</v>
      </c>
      <c r="U488" s="379">
        <f t="shared" si="501"/>
        <v>0</v>
      </c>
      <c r="V488" s="379">
        <f t="shared" si="501"/>
        <v>0</v>
      </c>
      <c r="W488" s="379">
        <f t="shared" si="501"/>
        <v>0</v>
      </c>
      <c r="X488" s="379">
        <f t="shared" si="501"/>
        <v>0</v>
      </c>
      <c r="Y488" s="379">
        <f t="shared" si="501"/>
        <v>0</v>
      </c>
      <c r="Z488" s="379">
        <f t="shared" si="501"/>
        <v>0</v>
      </c>
      <c r="AA488" s="379">
        <f t="shared" si="501"/>
        <v>0</v>
      </c>
      <c r="AB488" s="379">
        <f t="shared" si="501"/>
        <v>0</v>
      </c>
      <c r="AC488" s="379">
        <f t="shared" si="501"/>
        <v>0</v>
      </c>
      <c r="AD488" s="379">
        <f t="shared" si="501"/>
        <v>0</v>
      </c>
      <c r="AE488" s="379">
        <f t="shared" si="501"/>
        <v>0</v>
      </c>
      <c r="AF488" s="379">
        <f t="shared" si="501"/>
        <v>0</v>
      </c>
      <c r="AG488" s="379">
        <f t="shared" si="501"/>
        <v>0</v>
      </c>
      <c r="AH488" s="379">
        <f t="shared" si="501"/>
        <v>0</v>
      </c>
      <c r="AI488" s="379">
        <f t="shared" si="501"/>
        <v>0</v>
      </c>
      <c r="AJ488" s="379">
        <f t="shared" si="501"/>
        <v>0</v>
      </c>
      <c r="AK488" s="379">
        <f t="shared" si="501"/>
        <v>0</v>
      </c>
      <c r="AL488" s="379">
        <f t="shared" si="501"/>
        <v>0</v>
      </c>
      <c r="AM488" s="379">
        <f t="shared" si="501"/>
        <v>0</v>
      </c>
      <c r="AN488" s="490">
        <f t="shared" si="501"/>
        <v>0</v>
      </c>
      <c r="AO488" s="379">
        <f t="shared" si="501"/>
        <v>0</v>
      </c>
      <c r="AP488" s="379">
        <f t="shared" si="501"/>
        <v>0</v>
      </c>
      <c r="AQ488" s="379">
        <f t="shared" si="501"/>
        <v>0</v>
      </c>
      <c r="AR488" s="379">
        <f t="shared" si="501"/>
        <v>0</v>
      </c>
      <c r="AS488" s="379">
        <f t="shared" si="501"/>
        <v>0</v>
      </c>
      <c r="AT488" s="379">
        <f t="shared" si="501"/>
        <v>0</v>
      </c>
      <c r="AU488" s="379">
        <f t="shared" si="501"/>
        <v>0</v>
      </c>
      <c r="AV488" s="379">
        <f t="shared" si="501"/>
        <v>0</v>
      </c>
      <c r="AW488" s="379">
        <f t="shared" si="501"/>
        <v>0</v>
      </c>
      <c r="AX488" s="379">
        <f t="shared" si="501"/>
        <v>0</v>
      </c>
      <c r="AY488" s="379">
        <f t="shared" si="501"/>
        <v>0</v>
      </c>
    </row>
    <row r="489" spans="1:51" x14ac:dyDescent="0.2">
      <c r="B489" s="540">
        <f t="shared" si="492"/>
        <v>0.97138784555679247</v>
      </c>
      <c r="C489" s="376" t="s">
        <v>291</v>
      </c>
      <c r="D489" s="399">
        <f>COUNTIF($C$5:$C$132,"ISJO")</f>
        <v>5</v>
      </c>
      <c r="E489" s="503"/>
      <c r="G489" s="379">
        <f>G684</f>
        <v>453925</v>
      </c>
      <c r="H489" s="379">
        <f t="shared" ref="H489:AY489" si="502">H684</f>
        <v>192226</v>
      </c>
      <c r="I489" s="379">
        <f t="shared" si="502"/>
        <v>2189.6</v>
      </c>
      <c r="J489" s="379">
        <f t="shared" si="502"/>
        <v>0</v>
      </c>
      <c r="K489" s="379">
        <f t="shared" si="502"/>
        <v>186726</v>
      </c>
      <c r="L489" s="379">
        <f t="shared" si="502"/>
        <v>0</v>
      </c>
      <c r="M489" s="379">
        <f t="shared" si="502"/>
        <v>187404</v>
      </c>
      <c r="N489" s="379">
        <f t="shared" si="502"/>
        <v>99780</v>
      </c>
      <c r="O489" s="379">
        <f t="shared" si="502"/>
        <v>33201</v>
      </c>
      <c r="P489" s="379">
        <f t="shared" si="502"/>
        <v>0</v>
      </c>
      <c r="Q489" s="379">
        <f t="shared" si="502"/>
        <v>0</v>
      </c>
      <c r="R489" s="379">
        <f t="shared" si="502"/>
        <v>0</v>
      </c>
      <c r="S489" s="379">
        <f t="shared" si="502"/>
        <v>0</v>
      </c>
      <c r="T489" s="379">
        <f t="shared" si="502"/>
        <v>0</v>
      </c>
      <c r="U489" s="379">
        <f t="shared" si="502"/>
        <v>0</v>
      </c>
      <c r="V489" s="379">
        <f t="shared" si="502"/>
        <v>0</v>
      </c>
      <c r="W489" s="379">
        <f t="shared" si="502"/>
        <v>0</v>
      </c>
      <c r="X489" s="379">
        <f t="shared" si="502"/>
        <v>0</v>
      </c>
      <c r="Y489" s="379">
        <f t="shared" si="502"/>
        <v>0</v>
      </c>
      <c r="Z489" s="379">
        <f t="shared" si="502"/>
        <v>0</v>
      </c>
      <c r="AA489" s="379">
        <f t="shared" si="502"/>
        <v>0</v>
      </c>
      <c r="AB489" s="379">
        <f t="shared" si="502"/>
        <v>0</v>
      </c>
      <c r="AC489" s="379">
        <f t="shared" si="502"/>
        <v>0</v>
      </c>
      <c r="AD489" s="379">
        <f t="shared" si="502"/>
        <v>0</v>
      </c>
      <c r="AE489" s="379">
        <f t="shared" si="502"/>
        <v>0</v>
      </c>
      <c r="AF489" s="379">
        <f t="shared" si="502"/>
        <v>0</v>
      </c>
      <c r="AG489" s="379">
        <f t="shared" si="502"/>
        <v>0</v>
      </c>
      <c r="AH489" s="379">
        <f t="shared" si="502"/>
        <v>0</v>
      </c>
      <c r="AI489" s="379">
        <f t="shared" si="502"/>
        <v>0</v>
      </c>
      <c r="AJ489" s="379">
        <f t="shared" si="502"/>
        <v>0</v>
      </c>
      <c r="AK489" s="379">
        <f t="shared" si="502"/>
        <v>0</v>
      </c>
      <c r="AL489" s="379">
        <f t="shared" si="502"/>
        <v>0</v>
      </c>
      <c r="AM489" s="379">
        <f t="shared" si="502"/>
        <v>0</v>
      </c>
      <c r="AN489" s="490">
        <f t="shared" si="502"/>
        <v>0</v>
      </c>
      <c r="AO489" s="379">
        <f t="shared" si="502"/>
        <v>0</v>
      </c>
      <c r="AP489" s="379">
        <f t="shared" si="502"/>
        <v>0</v>
      </c>
      <c r="AQ489" s="379">
        <f t="shared" si="502"/>
        <v>0</v>
      </c>
      <c r="AR489" s="379">
        <f t="shared" si="502"/>
        <v>0</v>
      </c>
      <c r="AS489" s="379">
        <f t="shared" si="502"/>
        <v>0</v>
      </c>
      <c r="AT489" s="379">
        <f t="shared" si="502"/>
        <v>0</v>
      </c>
      <c r="AU489" s="379">
        <f t="shared" si="502"/>
        <v>0</v>
      </c>
      <c r="AV489" s="379">
        <f t="shared" si="502"/>
        <v>0</v>
      </c>
      <c r="AW489" s="379">
        <f t="shared" si="502"/>
        <v>0</v>
      </c>
      <c r="AX489" s="379">
        <f t="shared" si="502"/>
        <v>0</v>
      </c>
      <c r="AY489" s="379">
        <f t="shared" si="502"/>
        <v>0</v>
      </c>
    </row>
    <row r="490" spans="1:51" x14ac:dyDescent="0.2">
      <c r="B490" s="540">
        <f t="shared" si="492"/>
        <v>0.98993262068011623</v>
      </c>
      <c r="C490" s="376" t="s">
        <v>156</v>
      </c>
      <c r="D490" s="399">
        <f>COUNTIF($C$5:$C$132,"MACROC")</f>
        <v>3</v>
      </c>
      <c r="E490" s="503"/>
      <c r="G490" s="379">
        <f>G695</f>
        <v>288611</v>
      </c>
      <c r="H490" s="379">
        <f t="shared" ref="H490:AY490" si="503">H695</f>
        <v>101218</v>
      </c>
      <c r="I490" s="379">
        <f t="shared" si="503"/>
        <v>1443.6</v>
      </c>
      <c r="J490" s="379">
        <f t="shared" si="503"/>
        <v>0</v>
      </c>
      <c r="K490" s="379">
        <f t="shared" si="503"/>
        <v>100199</v>
      </c>
      <c r="L490" s="379">
        <f t="shared" si="503"/>
        <v>0</v>
      </c>
      <c r="M490" s="379">
        <f t="shared" si="503"/>
        <v>99400</v>
      </c>
      <c r="N490" s="379">
        <f t="shared" si="503"/>
        <v>91532</v>
      </c>
      <c r="O490" s="379">
        <f t="shared" si="503"/>
        <v>0</v>
      </c>
      <c r="P490" s="379">
        <f t="shared" si="503"/>
        <v>0</v>
      </c>
      <c r="Q490" s="379">
        <f t="shared" si="503"/>
        <v>0</v>
      </c>
      <c r="R490" s="379">
        <f t="shared" si="503"/>
        <v>0</v>
      </c>
      <c r="S490" s="379">
        <f t="shared" si="503"/>
        <v>0</v>
      </c>
      <c r="T490" s="379">
        <f t="shared" si="503"/>
        <v>0</v>
      </c>
      <c r="U490" s="379">
        <f t="shared" si="503"/>
        <v>0</v>
      </c>
      <c r="V490" s="379">
        <f t="shared" si="503"/>
        <v>0</v>
      </c>
      <c r="W490" s="379">
        <f t="shared" si="503"/>
        <v>0</v>
      </c>
      <c r="X490" s="379">
        <f t="shared" si="503"/>
        <v>0</v>
      </c>
      <c r="Y490" s="379">
        <f t="shared" si="503"/>
        <v>0</v>
      </c>
      <c r="Z490" s="379">
        <f t="shared" si="503"/>
        <v>0</v>
      </c>
      <c r="AA490" s="379">
        <f t="shared" si="503"/>
        <v>0</v>
      </c>
      <c r="AB490" s="379">
        <f t="shared" si="503"/>
        <v>0</v>
      </c>
      <c r="AC490" s="379">
        <f t="shared" si="503"/>
        <v>0</v>
      </c>
      <c r="AD490" s="379">
        <f t="shared" si="503"/>
        <v>0</v>
      </c>
      <c r="AE490" s="379">
        <f t="shared" si="503"/>
        <v>0</v>
      </c>
      <c r="AF490" s="379">
        <f t="shared" si="503"/>
        <v>0</v>
      </c>
      <c r="AG490" s="379">
        <f t="shared" si="503"/>
        <v>0</v>
      </c>
      <c r="AH490" s="379">
        <f t="shared" si="503"/>
        <v>0</v>
      </c>
      <c r="AI490" s="379">
        <f t="shared" si="503"/>
        <v>0</v>
      </c>
      <c r="AJ490" s="379">
        <f t="shared" si="503"/>
        <v>0</v>
      </c>
      <c r="AK490" s="379">
        <f t="shared" si="503"/>
        <v>0</v>
      </c>
      <c r="AL490" s="379">
        <f t="shared" si="503"/>
        <v>0</v>
      </c>
      <c r="AM490" s="379">
        <f t="shared" si="503"/>
        <v>0</v>
      </c>
      <c r="AN490" s="490">
        <f t="shared" si="503"/>
        <v>0</v>
      </c>
      <c r="AO490" s="379">
        <f t="shared" si="503"/>
        <v>0</v>
      </c>
      <c r="AP490" s="379">
        <f t="shared" si="503"/>
        <v>0</v>
      </c>
      <c r="AQ490" s="379">
        <f t="shared" si="503"/>
        <v>0</v>
      </c>
      <c r="AR490" s="379">
        <f t="shared" si="503"/>
        <v>0</v>
      </c>
      <c r="AS490" s="379">
        <f t="shared" si="503"/>
        <v>0</v>
      </c>
      <c r="AT490" s="379">
        <f t="shared" si="503"/>
        <v>0</v>
      </c>
      <c r="AU490" s="379">
        <f t="shared" si="503"/>
        <v>0</v>
      </c>
      <c r="AV490" s="379">
        <f t="shared" si="503"/>
        <v>0</v>
      </c>
      <c r="AW490" s="379">
        <f t="shared" si="503"/>
        <v>0</v>
      </c>
      <c r="AX490" s="379">
        <f t="shared" si="503"/>
        <v>0</v>
      </c>
      <c r="AY490" s="379">
        <f t="shared" si="503"/>
        <v>0</v>
      </c>
    </row>
    <row r="491" spans="1:51" x14ac:dyDescent="0.2">
      <c r="B491" s="540">
        <f t="shared" si="492"/>
        <v>0.93214688306544624</v>
      </c>
      <c r="C491" s="376" t="s">
        <v>190</v>
      </c>
      <c r="D491" s="399">
        <f>COUNTIF($C$5:$C$132,"NSROC")</f>
        <v>8</v>
      </c>
      <c r="E491" s="503"/>
      <c r="G491" s="379">
        <f>G711</f>
        <v>628792</v>
      </c>
      <c r="H491" s="379">
        <f t="shared" ref="H491:AY491" si="504">H711</f>
        <v>229761</v>
      </c>
      <c r="I491" s="379">
        <f t="shared" si="504"/>
        <v>3398.95</v>
      </c>
      <c r="J491" s="379">
        <f t="shared" si="504"/>
        <v>0</v>
      </c>
      <c r="K491" s="379">
        <f t="shared" si="504"/>
        <v>214171</v>
      </c>
      <c r="L491" s="379">
        <f t="shared" si="504"/>
        <v>0</v>
      </c>
      <c r="M491" s="379">
        <f t="shared" si="504"/>
        <v>219167</v>
      </c>
      <c r="N491" s="379">
        <f t="shared" si="504"/>
        <v>148796</v>
      </c>
      <c r="O491" s="379">
        <f t="shared" si="504"/>
        <v>0</v>
      </c>
      <c r="P491" s="379">
        <f t="shared" si="504"/>
        <v>0</v>
      </c>
      <c r="Q491" s="379">
        <f t="shared" si="504"/>
        <v>0</v>
      </c>
      <c r="R491" s="379">
        <f t="shared" si="504"/>
        <v>0</v>
      </c>
      <c r="S491" s="379">
        <f t="shared" si="504"/>
        <v>0</v>
      </c>
      <c r="T491" s="379">
        <f t="shared" si="504"/>
        <v>0</v>
      </c>
      <c r="U491" s="379">
        <f t="shared" si="504"/>
        <v>0</v>
      </c>
      <c r="V491" s="379">
        <f t="shared" si="504"/>
        <v>0</v>
      </c>
      <c r="W491" s="379">
        <f t="shared" si="504"/>
        <v>0</v>
      </c>
      <c r="X491" s="379">
        <f t="shared" si="504"/>
        <v>0</v>
      </c>
      <c r="Y491" s="379">
        <f t="shared" si="504"/>
        <v>0</v>
      </c>
      <c r="Z491" s="379">
        <f t="shared" si="504"/>
        <v>0</v>
      </c>
      <c r="AA491" s="379">
        <f t="shared" si="504"/>
        <v>0</v>
      </c>
      <c r="AB491" s="379">
        <f t="shared" si="504"/>
        <v>0</v>
      </c>
      <c r="AC491" s="379">
        <f t="shared" si="504"/>
        <v>0</v>
      </c>
      <c r="AD491" s="379">
        <f t="shared" si="504"/>
        <v>0</v>
      </c>
      <c r="AE491" s="379">
        <f t="shared" si="504"/>
        <v>0</v>
      </c>
      <c r="AF491" s="379">
        <f t="shared" si="504"/>
        <v>0</v>
      </c>
      <c r="AG491" s="379">
        <f t="shared" si="504"/>
        <v>0</v>
      </c>
      <c r="AH491" s="379">
        <f t="shared" si="504"/>
        <v>0</v>
      </c>
      <c r="AI491" s="379">
        <f t="shared" si="504"/>
        <v>0</v>
      </c>
      <c r="AJ491" s="379">
        <f t="shared" si="504"/>
        <v>0</v>
      </c>
      <c r="AK491" s="379">
        <f t="shared" si="504"/>
        <v>0</v>
      </c>
      <c r="AL491" s="379">
        <f t="shared" si="504"/>
        <v>0</v>
      </c>
      <c r="AM491" s="379">
        <f t="shared" si="504"/>
        <v>0</v>
      </c>
      <c r="AN491" s="490">
        <f t="shared" si="504"/>
        <v>0</v>
      </c>
      <c r="AO491" s="379">
        <f t="shared" si="504"/>
        <v>0</v>
      </c>
      <c r="AP491" s="379">
        <f t="shared" si="504"/>
        <v>0</v>
      </c>
      <c r="AQ491" s="379">
        <f t="shared" si="504"/>
        <v>0</v>
      </c>
      <c r="AR491" s="379">
        <f t="shared" si="504"/>
        <v>0</v>
      </c>
      <c r="AS491" s="379">
        <f t="shared" si="504"/>
        <v>0</v>
      </c>
      <c r="AT491" s="379">
        <f t="shared" si="504"/>
        <v>0</v>
      </c>
      <c r="AU491" s="379">
        <f t="shared" si="504"/>
        <v>0</v>
      </c>
      <c r="AV491" s="379">
        <f t="shared" si="504"/>
        <v>0</v>
      </c>
      <c r="AW491" s="379">
        <f t="shared" si="504"/>
        <v>0</v>
      </c>
      <c r="AX491" s="379">
        <f t="shared" si="504"/>
        <v>0</v>
      </c>
      <c r="AY491" s="379">
        <f t="shared" si="504"/>
        <v>0</v>
      </c>
    </row>
    <row r="492" spans="1:51" x14ac:dyDescent="0.2">
      <c r="B492" s="540">
        <f t="shared" si="492"/>
        <v>0.93857830569424272</v>
      </c>
      <c r="C492" s="376" t="s">
        <v>129</v>
      </c>
      <c r="D492" s="399">
        <f>COUNTIF($C$5:$C$132,"WSROC")</f>
        <v>9</v>
      </c>
      <c r="E492" s="503"/>
      <c r="G492" s="379">
        <f>G728</f>
        <v>1737744</v>
      </c>
      <c r="H492" s="379">
        <f t="shared" ref="H492:AY492" si="505">H728</f>
        <v>570629</v>
      </c>
      <c r="I492" s="379">
        <f t="shared" si="505"/>
        <v>3906.35</v>
      </c>
      <c r="J492" s="379">
        <f t="shared" si="505"/>
        <v>0</v>
      </c>
      <c r="K492" s="379">
        <f t="shared" si="505"/>
        <v>535580</v>
      </c>
      <c r="L492" s="379">
        <f t="shared" si="505"/>
        <v>0</v>
      </c>
      <c r="M492" s="379">
        <f t="shared" si="505"/>
        <v>533356</v>
      </c>
      <c r="N492" s="379">
        <f t="shared" si="505"/>
        <v>203683</v>
      </c>
      <c r="O492" s="379">
        <f t="shared" si="505"/>
        <v>56140</v>
      </c>
      <c r="P492" s="379">
        <f t="shared" si="505"/>
        <v>0</v>
      </c>
      <c r="Q492" s="379">
        <f t="shared" si="505"/>
        <v>0</v>
      </c>
      <c r="R492" s="379">
        <f t="shared" si="505"/>
        <v>0</v>
      </c>
      <c r="S492" s="379">
        <f t="shared" si="505"/>
        <v>0</v>
      </c>
      <c r="T492" s="379">
        <f t="shared" si="505"/>
        <v>0</v>
      </c>
      <c r="U492" s="379">
        <f t="shared" si="505"/>
        <v>0</v>
      </c>
      <c r="V492" s="379">
        <f t="shared" si="505"/>
        <v>0</v>
      </c>
      <c r="W492" s="379">
        <f t="shared" si="505"/>
        <v>0</v>
      </c>
      <c r="X492" s="379">
        <f t="shared" si="505"/>
        <v>0</v>
      </c>
      <c r="Y492" s="379">
        <f t="shared" si="505"/>
        <v>0</v>
      </c>
      <c r="Z492" s="379">
        <f t="shared" si="505"/>
        <v>0</v>
      </c>
      <c r="AA492" s="379">
        <f t="shared" si="505"/>
        <v>0</v>
      </c>
      <c r="AB492" s="379">
        <f t="shared" si="505"/>
        <v>0</v>
      </c>
      <c r="AC492" s="379">
        <f t="shared" si="505"/>
        <v>0</v>
      </c>
      <c r="AD492" s="379">
        <f t="shared" si="505"/>
        <v>0</v>
      </c>
      <c r="AE492" s="379">
        <f t="shared" si="505"/>
        <v>0</v>
      </c>
      <c r="AF492" s="379">
        <f t="shared" si="505"/>
        <v>0</v>
      </c>
      <c r="AG492" s="379">
        <f t="shared" si="505"/>
        <v>0</v>
      </c>
      <c r="AH492" s="379">
        <f t="shared" si="505"/>
        <v>0</v>
      </c>
      <c r="AI492" s="379">
        <f t="shared" si="505"/>
        <v>0</v>
      </c>
      <c r="AJ492" s="379">
        <f t="shared" si="505"/>
        <v>0</v>
      </c>
      <c r="AK492" s="379">
        <f t="shared" si="505"/>
        <v>0</v>
      </c>
      <c r="AL492" s="379">
        <f t="shared" si="505"/>
        <v>0</v>
      </c>
      <c r="AM492" s="379">
        <f t="shared" si="505"/>
        <v>0</v>
      </c>
      <c r="AN492" s="490">
        <f t="shared" si="505"/>
        <v>0</v>
      </c>
      <c r="AO492" s="379">
        <f t="shared" si="505"/>
        <v>0</v>
      </c>
      <c r="AP492" s="379">
        <f t="shared" si="505"/>
        <v>0</v>
      </c>
      <c r="AQ492" s="379">
        <f t="shared" si="505"/>
        <v>0</v>
      </c>
      <c r="AR492" s="379">
        <f t="shared" si="505"/>
        <v>0</v>
      </c>
      <c r="AS492" s="379">
        <f t="shared" si="505"/>
        <v>0</v>
      </c>
      <c r="AT492" s="379">
        <f t="shared" si="505"/>
        <v>0</v>
      </c>
      <c r="AU492" s="379">
        <f t="shared" si="505"/>
        <v>0</v>
      </c>
      <c r="AV492" s="379">
        <f t="shared" si="505"/>
        <v>0</v>
      </c>
      <c r="AW492" s="379">
        <f t="shared" si="505"/>
        <v>0</v>
      </c>
      <c r="AX492" s="379">
        <f t="shared" si="505"/>
        <v>0</v>
      </c>
      <c r="AY492" s="379">
        <f t="shared" si="505"/>
        <v>0</v>
      </c>
    </row>
    <row r="493" spans="1:51" x14ac:dyDescent="0.2">
      <c r="B493" s="540">
        <f t="shared" si="492"/>
        <v>0.97241258773422623</v>
      </c>
      <c r="C493" s="399" t="s">
        <v>309</v>
      </c>
      <c r="D493" s="399">
        <v>2</v>
      </c>
      <c r="E493" s="443"/>
      <c r="G493" s="379">
        <f>G739</f>
        <v>309812</v>
      </c>
      <c r="H493" s="379">
        <f t="shared" ref="H493:AY493" si="506">H739</f>
        <v>108709</v>
      </c>
      <c r="I493" s="379">
        <f t="shared" si="506"/>
        <v>1314.33</v>
      </c>
      <c r="J493" s="379">
        <f t="shared" si="506"/>
        <v>0</v>
      </c>
      <c r="K493" s="379">
        <f t="shared" si="506"/>
        <v>105710</v>
      </c>
      <c r="L493" s="379">
        <f t="shared" si="506"/>
        <v>0</v>
      </c>
      <c r="M493" s="379">
        <f t="shared" si="506"/>
        <v>101058</v>
      </c>
      <c r="N493" s="379">
        <f t="shared" si="506"/>
        <v>97249</v>
      </c>
      <c r="O493" s="379">
        <f t="shared" si="506"/>
        <v>0</v>
      </c>
      <c r="P493" s="379">
        <f t="shared" si="506"/>
        <v>0</v>
      </c>
      <c r="Q493" s="379">
        <f t="shared" si="506"/>
        <v>0</v>
      </c>
      <c r="R493" s="379">
        <f t="shared" si="506"/>
        <v>0</v>
      </c>
      <c r="S493" s="379">
        <f t="shared" si="506"/>
        <v>0</v>
      </c>
      <c r="T493" s="379">
        <f t="shared" si="506"/>
        <v>0</v>
      </c>
      <c r="U493" s="379">
        <f t="shared" si="506"/>
        <v>0</v>
      </c>
      <c r="V493" s="379">
        <f t="shared" si="506"/>
        <v>0</v>
      </c>
      <c r="W493" s="379">
        <f t="shared" si="506"/>
        <v>0</v>
      </c>
      <c r="X493" s="379">
        <f t="shared" si="506"/>
        <v>0</v>
      </c>
      <c r="Y493" s="379">
        <f t="shared" si="506"/>
        <v>0</v>
      </c>
      <c r="Z493" s="379">
        <f t="shared" si="506"/>
        <v>0</v>
      </c>
      <c r="AA493" s="379">
        <f t="shared" si="506"/>
        <v>0</v>
      </c>
      <c r="AB493" s="379">
        <f t="shared" si="506"/>
        <v>0</v>
      </c>
      <c r="AC493" s="379">
        <f t="shared" si="506"/>
        <v>0</v>
      </c>
      <c r="AD493" s="379">
        <f t="shared" si="506"/>
        <v>0</v>
      </c>
      <c r="AE493" s="379">
        <f t="shared" si="506"/>
        <v>0</v>
      </c>
      <c r="AF493" s="379">
        <f t="shared" si="506"/>
        <v>0</v>
      </c>
      <c r="AG493" s="379">
        <f t="shared" si="506"/>
        <v>0</v>
      </c>
      <c r="AH493" s="379">
        <f t="shared" si="506"/>
        <v>0</v>
      </c>
      <c r="AI493" s="379">
        <f t="shared" si="506"/>
        <v>0</v>
      </c>
      <c r="AJ493" s="379">
        <f t="shared" si="506"/>
        <v>0</v>
      </c>
      <c r="AK493" s="379">
        <f t="shared" si="506"/>
        <v>0</v>
      </c>
      <c r="AL493" s="379">
        <f t="shared" si="506"/>
        <v>0</v>
      </c>
      <c r="AM493" s="379">
        <f t="shared" si="506"/>
        <v>0</v>
      </c>
      <c r="AN493" s="490">
        <f t="shared" si="506"/>
        <v>0</v>
      </c>
      <c r="AO493" s="379">
        <f t="shared" si="506"/>
        <v>0</v>
      </c>
      <c r="AP493" s="379">
        <f t="shared" si="506"/>
        <v>0</v>
      </c>
      <c r="AQ493" s="379">
        <f t="shared" si="506"/>
        <v>0</v>
      </c>
      <c r="AR493" s="379">
        <f t="shared" si="506"/>
        <v>0</v>
      </c>
      <c r="AS493" s="379">
        <f t="shared" si="506"/>
        <v>0</v>
      </c>
      <c r="AT493" s="379">
        <f t="shared" si="506"/>
        <v>0</v>
      </c>
      <c r="AU493" s="379">
        <f t="shared" si="506"/>
        <v>0</v>
      </c>
      <c r="AV493" s="379">
        <f t="shared" si="506"/>
        <v>0</v>
      </c>
      <c r="AW493" s="379">
        <f t="shared" si="506"/>
        <v>0</v>
      </c>
      <c r="AX493" s="379">
        <f t="shared" si="506"/>
        <v>0</v>
      </c>
      <c r="AY493" s="379">
        <f t="shared" si="506"/>
        <v>0</v>
      </c>
    </row>
    <row r="494" spans="1:51" x14ac:dyDescent="0.2">
      <c r="B494" s="540"/>
      <c r="D494" s="466">
        <f>SUM(D479:D493)</f>
        <v>128</v>
      </c>
      <c r="G494" s="398">
        <f t="shared" ref="G494:AY494" si="507">SUM(G479:G493)</f>
        <v>7725840</v>
      </c>
      <c r="H494" s="398">
        <f t="shared" si="507"/>
        <v>2996611</v>
      </c>
      <c r="I494" s="398">
        <f t="shared" si="507"/>
        <v>48313.74</v>
      </c>
      <c r="J494" s="398">
        <f t="shared" si="507"/>
        <v>0</v>
      </c>
      <c r="K494" s="398">
        <f t="shared" si="507"/>
        <v>2735205</v>
      </c>
      <c r="L494" s="398">
        <f t="shared" si="507"/>
        <v>0</v>
      </c>
      <c r="M494" s="398">
        <f t="shared" si="507"/>
        <v>2671542</v>
      </c>
      <c r="N494" s="398">
        <f t="shared" si="507"/>
        <v>1433778</v>
      </c>
      <c r="O494" s="398">
        <f t="shared" si="507"/>
        <v>361409</v>
      </c>
      <c r="P494" s="398">
        <f t="shared" si="507"/>
        <v>0</v>
      </c>
      <c r="Q494" s="398">
        <f t="shared" si="507"/>
        <v>0</v>
      </c>
      <c r="R494" s="398">
        <f t="shared" si="507"/>
        <v>0</v>
      </c>
      <c r="S494" s="398">
        <f t="shared" si="507"/>
        <v>0</v>
      </c>
      <c r="T494" s="398">
        <f t="shared" si="507"/>
        <v>0</v>
      </c>
      <c r="U494" s="398">
        <f t="shared" si="507"/>
        <v>0</v>
      </c>
      <c r="V494" s="398">
        <f t="shared" si="507"/>
        <v>0</v>
      </c>
      <c r="W494" s="398">
        <f t="shared" si="507"/>
        <v>0</v>
      </c>
      <c r="X494" s="398">
        <f t="shared" si="507"/>
        <v>0</v>
      </c>
      <c r="Y494" s="398">
        <f t="shared" si="507"/>
        <v>0</v>
      </c>
      <c r="Z494" s="398">
        <f t="shared" si="507"/>
        <v>0</v>
      </c>
      <c r="AA494" s="398">
        <f t="shared" si="507"/>
        <v>0</v>
      </c>
      <c r="AB494" s="398">
        <f t="shared" si="507"/>
        <v>0</v>
      </c>
      <c r="AC494" s="398">
        <f t="shared" si="507"/>
        <v>0</v>
      </c>
      <c r="AD494" s="398">
        <f t="shared" si="507"/>
        <v>0</v>
      </c>
      <c r="AE494" s="398">
        <f t="shared" si="507"/>
        <v>0</v>
      </c>
      <c r="AF494" s="398">
        <f t="shared" si="507"/>
        <v>0</v>
      </c>
      <c r="AG494" s="398">
        <f t="shared" si="507"/>
        <v>0</v>
      </c>
      <c r="AH494" s="398">
        <f t="shared" si="507"/>
        <v>0</v>
      </c>
      <c r="AI494" s="398">
        <f t="shared" si="507"/>
        <v>0</v>
      </c>
      <c r="AJ494" s="398">
        <f t="shared" si="507"/>
        <v>0</v>
      </c>
      <c r="AK494" s="398">
        <f t="shared" si="507"/>
        <v>0</v>
      </c>
      <c r="AL494" s="398">
        <f t="shared" si="507"/>
        <v>0</v>
      </c>
      <c r="AM494" s="398">
        <f t="shared" si="507"/>
        <v>0</v>
      </c>
      <c r="AN494" s="541">
        <f t="shared" si="507"/>
        <v>0</v>
      </c>
      <c r="AO494" s="398">
        <f t="shared" si="507"/>
        <v>0</v>
      </c>
      <c r="AP494" s="398">
        <f t="shared" si="507"/>
        <v>0</v>
      </c>
      <c r="AQ494" s="398">
        <f t="shared" si="507"/>
        <v>0</v>
      </c>
      <c r="AR494" s="398">
        <f t="shared" si="507"/>
        <v>0</v>
      </c>
      <c r="AS494" s="398">
        <f t="shared" si="507"/>
        <v>0</v>
      </c>
      <c r="AT494" s="398">
        <f t="shared" si="507"/>
        <v>0</v>
      </c>
      <c r="AU494" s="398">
        <f t="shared" si="507"/>
        <v>0</v>
      </c>
      <c r="AV494" s="398">
        <f t="shared" si="507"/>
        <v>0</v>
      </c>
      <c r="AW494" s="398">
        <f t="shared" si="507"/>
        <v>0</v>
      </c>
      <c r="AX494" s="398">
        <f t="shared" si="507"/>
        <v>0</v>
      </c>
      <c r="AY494" s="398">
        <f t="shared" si="507"/>
        <v>0</v>
      </c>
    </row>
    <row r="496" spans="1:51" ht="13.5" thickBot="1" x14ac:dyDescent="0.25">
      <c r="A496" s="400"/>
      <c r="B496" s="400"/>
      <c r="C496" s="401" t="s">
        <v>131</v>
      </c>
      <c r="D496" s="401"/>
      <c r="E496" s="503"/>
    </row>
    <row r="497" spans="1:51" ht="13.5" thickTop="1" x14ac:dyDescent="0.2">
      <c r="A497" s="376">
        <v>10250</v>
      </c>
      <c r="B497" s="378" t="str">
        <f t="shared" ref="B497:B503" si="508">VLOOKUP($A497,$A$5:$L$133,2,FALSE)</f>
        <v>Ballina (A)</v>
      </c>
      <c r="C497" s="377" t="str">
        <f t="shared" ref="C497:C503" si="509">VLOOKUP($A497,$A$5:$L$133,3,FALSE)</f>
        <v>NEWF</v>
      </c>
      <c r="D497" s="503" t="str">
        <f t="shared" ref="D497:D503" si="510">VLOOKUP($A497,$A$5:$L$133,4,FALSE)</f>
        <v>R</v>
      </c>
      <c r="E497" s="503"/>
      <c r="F497"/>
      <c r="G497" s="379">
        <f t="shared" ref="G497:G503" si="511">VLOOKUP($A497,$A$5:$AY$132,7,FALSE)</f>
        <v>42556</v>
      </c>
      <c r="H497" s="379">
        <f t="shared" ref="H497:H503" si="512">VLOOKUP($A497,$A$5:$AY$132,8,FALSE)</f>
        <v>17744</v>
      </c>
      <c r="I497" s="379">
        <f t="shared" ref="I497:I503" si="513">VLOOKUP($A497,$A$5:$AY$132,9,FALSE)</f>
        <v>374</v>
      </c>
      <c r="J497" s="379" t="str">
        <f t="shared" ref="J497:J503" si="514">VLOOKUP($A497,$A$5:$AY$132,10,FALSE)</f>
        <v>Y</v>
      </c>
      <c r="K497" s="379">
        <f t="shared" ref="K497:K503" si="515">VLOOKUP($A497,$A$5:$AY$132,11,FALSE)</f>
        <v>17744</v>
      </c>
      <c r="L497" s="379">
        <f t="shared" ref="L497:L503" si="516">VLOOKUP($A497,$A$5:$AY$132,12,FALSE)</f>
        <v>0</v>
      </c>
      <c r="M497" s="379">
        <f t="shared" ref="M497:M503" si="517">VLOOKUP($A497,$A$4:$AY$132,13,FALSE)</f>
        <v>17744</v>
      </c>
      <c r="N497" s="379">
        <f t="shared" ref="N497:N503" si="518">VLOOKUP($A497,$A$4:$AY$132,14,FALSE)</f>
        <v>0</v>
      </c>
      <c r="O497" s="379">
        <f t="shared" ref="O497:O503" si="519">VLOOKUP($A497,$A$4:$AY$132,15,FALSE)</f>
        <v>14612</v>
      </c>
      <c r="P497" s="379">
        <f t="shared" ref="P497:P503" si="520">VLOOKUP($A497,$A$4:$AY$132,16,FALSE)</f>
        <v>0</v>
      </c>
      <c r="Q497" s="379" t="str">
        <f t="shared" ref="Q497:Q503" si="521">VLOOKUP($A497,$A$4:$AY$132,17,FALSE)</f>
        <v>Y</v>
      </c>
      <c r="R497" s="379" t="str">
        <f t="shared" ref="R497:R503" si="522">VLOOKUP($A497,$A$4:$AY$132,18,FALSE)</f>
        <v>Ballina Waste Management Centre</v>
      </c>
      <c r="S497" s="379">
        <f t="shared" ref="S497:S503" si="523">VLOOKUP($A497,$A$4:$AY$132,19,FALSE)</f>
        <v>0</v>
      </c>
      <c r="T497" s="379">
        <f t="shared" ref="T497:T503" si="524">VLOOKUP($A497,$A$4:$AY$132,20,FALSE)</f>
        <v>0</v>
      </c>
      <c r="U497" s="379">
        <f t="shared" ref="U497:U503" si="525">VLOOKUP($A497,$A$4:$AY$132,21,FALSE)</f>
        <v>0</v>
      </c>
      <c r="V497" s="379">
        <f t="shared" ref="V497:V503" si="526">VLOOKUP($A497,$A$4:$AY$132,22,FALSE)</f>
        <v>0</v>
      </c>
      <c r="W497" s="379">
        <f t="shared" ref="W497:W503" si="527">VLOOKUP($A497,$A$4:$AY$132,23,FALSE)</f>
        <v>0</v>
      </c>
      <c r="X497" s="379">
        <f t="shared" ref="X497:X503" si="528">VLOOKUP($A497,$A$4:$AY$132,24,FALSE)</f>
        <v>0</v>
      </c>
      <c r="Y497" s="379">
        <f t="shared" ref="Y497:Y503" si="529">VLOOKUP($A497,$A$4:$AY$132,25,FALSE)</f>
        <v>0</v>
      </c>
      <c r="Z497" s="379">
        <f t="shared" ref="Z497:Z503" si="530">VLOOKUP($A497,$A$4:$AY$132,26,FALSE)</f>
        <v>0</v>
      </c>
      <c r="AA497" s="379">
        <f t="shared" ref="AA497:AA503" si="531">VLOOKUP($A497,$A$4:$AY$132,27,FALSE)</f>
        <v>0</v>
      </c>
      <c r="AB497" s="379">
        <f t="shared" ref="AB497:AB503" si="532">VLOOKUP($A497,$A$4:$AY$132,28,FALSE)</f>
        <v>0</v>
      </c>
      <c r="AC497" s="379">
        <f t="shared" ref="AC497:AC503" si="533">VLOOKUP($A497,$A$4:$AY$132,29,FALSE)</f>
        <v>0</v>
      </c>
      <c r="AD497" s="379">
        <f t="shared" ref="AD497:AD503" si="534">VLOOKUP($A497,$A$4:$AY$132,30,FALSE)</f>
        <v>0</v>
      </c>
      <c r="AE497" s="379">
        <f t="shared" ref="AE497:AE503" si="535">VLOOKUP($A497,$A$4:$AY$132,31,FALSE)</f>
        <v>0</v>
      </c>
      <c r="AF497" s="379">
        <f t="shared" ref="AF497:AF503" si="536">VLOOKUP($A497,$A$4:$AY$132,32,FALSE)</f>
        <v>0</v>
      </c>
      <c r="AG497" s="379">
        <f t="shared" ref="AG497:AG503" si="537">VLOOKUP($A497,$A$4:$AY$132,33,FALSE)</f>
        <v>0</v>
      </c>
      <c r="AH497" s="379">
        <f t="shared" ref="AH497:AH503" si="538">VLOOKUP($A497,$A$4:$AY$132,34,FALSE)</f>
        <v>0</v>
      </c>
      <c r="AI497" s="379">
        <f t="shared" ref="AI497:AI503" si="539">VLOOKUP($A497,$A$4:$AY$132,35,FALSE)</f>
        <v>0</v>
      </c>
      <c r="AJ497" s="379">
        <f t="shared" ref="AJ497:AJ503" si="540">VLOOKUP($A497,$A$4:$AY$132,36,FALSE)</f>
        <v>0</v>
      </c>
      <c r="AK497" s="379">
        <f t="shared" ref="AK497:AK503" si="541">VLOOKUP($A497,$A$4:$AY$132,37,FALSE)</f>
        <v>0</v>
      </c>
      <c r="AL497" s="379">
        <f t="shared" ref="AL497:AL503" si="542">VLOOKUP($A497,$A$4:$AY$132,38,FALSE)</f>
        <v>0</v>
      </c>
      <c r="AM497" s="379">
        <f t="shared" ref="AM497:AM503" si="543">VLOOKUP($A497,$A$4:$AY$132,39,FALSE)</f>
        <v>0</v>
      </c>
      <c r="AN497" s="490">
        <f t="shared" ref="AN497:AN503" si="544">VLOOKUP($A497,$A$4:$AY$132,40,FALSE)</f>
        <v>0</v>
      </c>
      <c r="AO497" s="379">
        <f t="shared" ref="AO497:AO503" si="545">VLOOKUP($A497,$A$4:$AY$132,41,FALSE)</f>
        <v>0</v>
      </c>
      <c r="AP497" s="379">
        <f t="shared" ref="AP497:AP503" si="546">VLOOKUP($A497,$A$4:$AY$132,42,FALSE)</f>
        <v>0</v>
      </c>
      <c r="AQ497" s="379">
        <f t="shared" ref="AQ497:AQ503" si="547">VLOOKUP($A497,$A$4:$AY$132,43,FALSE)</f>
        <v>0</v>
      </c>
      <c r="AR497" s="379">
        <f t="shared" ref="AR497:AR503" si="548">VLOOKUP($A497,$A$4:$AY$132,44,FALSE)</f>
        <v>0</v>
      </c>
      <c r="AS497" s="379">
        <f t="shared" ref="AS497:AS503" si="549">VLOOKUP($A497,$A$4:$AY$132,45,FALSE)</f>
        <v>0</v>
      </c>
      <c r="AT497" s="379">
        <f t="shared" ref="AT497:AT503" si="550">VLOOKUP($A497,$A$4:$AY$132,46,FALSE)</f>
        <v>0</v>
      </c>
      <c r="AU497" s="379">
        <f t="shared" ref="AU497:AU503" si="551">VLOOKUP($A497,$A$4:$AY$132,47,FALSE)</f>
        <v>0</v>
      </c>
      <c r="AV497" s="379">
        <f t="shared" ref="AV497:AV503" si="552">VLOOKUP($A497,$A$4:$AY$132,48,FALSE)</f>
        <v>0</v>
      </c>
      <c r="AW497" s="379">
        <f t="shared" ref="AW497:AW503" si="553">VLOOKUP($A497,$A$4:$AY$132,49,FALSE)</f>
        <v>0</v>
      </c>
      <c r="AX497" s="379">
        <f t="shared" ref="AX497:AX503" si="554">VLOOKUP($A497,$A$4:$AY$132,50,FALSE)</f>
        <v>0</v>
      </c>
      <c r="AY497" s="379">
        <f t="shared" ref="AY497:AY503" si="555">VLOOKUP($A497,$A$4:$AY$132,51,FALSE)</f>
        <v>0</v>
      </c>
    </row>
    <row r="498" spans="1:51" x14ac:dyDescent="0.2">
      <c r="A498" s="376">
        <v>11350</v>
      </c>
      <c r="B498" s="378" t="str">
        <f t="shared" si="508"/>
        <v>Byron (A)</v>
      </c>
      <c r="C498" s="377" t="str">
        <f t="shared" si="509"/>
        <v>NEWF</v>
      </c>
      <c r="D498" s="503" t="str">
        <f t="shared" si="510"/>
        <v>R</v>
      </c>
      <c r="E498" s="503"/>
      <c r="F498"/>
      <c r="G498" s="379">
        <f t="shared" si="511"/>
        <v>33278</v>
      </c>
      <c r="H498" s="379">
        <f t="shared" si="512"/>
        <v>15348</v>
      </c>
      <c r="I498" s="379">
        <f t="shared" si="513"/>
        <v>260</v>
      </c>
      <c r="J498" s="379" t="str">
        <f t="shared" si="514"/>
        <v>Y</v>
      </c>
      <c r="K498" s="379">
        <f t="shared" si="515"/>
        <v>13526</v>
      </c>
      <c r="L498" s="379">
        <f t="shared" si="516"/>
        <v>0</v>
      </c>
      <c r="M498" s="379">
        <f t="shared" si="517"/>
        <v>13617</v>
      </c>
      <c r="N498" s="379">
        <f t="shared" si="518"/>
        <v>0</v>
      </c>
      <c r="O498" s="379">
        <f t="shared" si="519"/>
        <v>10536</v>
      </c>
      <c r="P498" s="379" t="str">
        <f t="shared" si="520"/>
        <v>Y</v>
      </c>
      <c r="Q498" s="379" t="str">
        <f t="shared" si="521"/>
        <v>Y</v>
      </c>
      <c r="R498" s="379" t="str">
        <f t="shared" si="522"/>
        <v>Byron Resource Recovery Facility</v>
      </c>
      <c r="S498" s="379">
        <f t="shared" si="523"/>
        <v>0</v>
      </c>
      <c r="T498" s="379">
        <f t="shared" si="524"/>
        <v>0</v>
      </c>
      <c r="U498" s="379">
        <f t="shared" si="525"/>
        <v>0</v>
      </c>
      <c r="V498" s="379">
        <f t="shared" si="526"/>
        <v>0</v>
      </c>
      <c r="W498" s="379">
        <f t="shared" si="527"/>
        <v>0</v>
      </c>
      <c r="X498" s="379">
        <f t="shared" si="528"/>
        <v>0</v>
      </c>
      <c r="Y498" s="379">
        <f t="shared" si="529"/>
        <v>0</v>
      </c>
      <c r="Z498" s="379">
        <f t="shared" si="530"/>
        <v>0</v>
      </c>
      <c r="AA498" s="379">
        <f t="shared" si="531"/>
        <v>0</v>
      </c>
      <c r="AB498" s="379">
        <f t="shared" si="532"/>
        <v>0</v>
      </c>
      <c r="AC498" s="379">
        <f t="shared" si="533"/>
        <v>0</v>
      </c>
      <c r="AD498" s="379">
        <f t="shared" si="534"/>
        <v>0</v>
      </c>
      <c r="AE498" s="379">
        <f t="shared" si="535"/>
        <v>0</v>
      </c>
      <c r="AF498" s="379">
        <f t="shared" si="536"/>
        <v>0</v>
      </c>
      <c r="AG498" s="379">
        <f t="shared" si="537"/>
        <v>0</v>
      </c>
      <c r="AH498" s="379">
        <f t="shared" si="538"/>
        <v>0</v>
      </c>
      <c r="AI498" s="379">
        <f t="shared" si="539"/>
        <v>0</v>
      </c>
      <c r="AJ498" s="379">
        <f t="shared" si="540"/>
        <v>0</v>
      </c>
      <c r="AK498" s="379">
        <f t="shared" si="541"/>
        <v>0</v>
      </c>
      <c r="AL498" s="379">
        <f t="shared" si="542"/>
        <v>0</v>
      </c>
      <c r="AM498" s="379">
        <f t="shared" si="543"/>
        <v>0</v>
      </c>
      <c r="AN498" s="490">
        <f t="shared" si="544"/>
        <v>0</v>
      </c>
      <c r="AO498" s="379">
        <f t="shared" si="545"/>
        <v>0</v>
      </c>
      <c r="AP498" s="379">
        <f t="shared" si="546"/>
        <v>0</v>
      </c>
      <c r="AQ498" s="379">
        <f t="shared" si="547"/>
        <v>0</v>
      </c>
      <c r="AR498" s="379">
        <f t="shared" si="548"/>
        <v>0</v>
      </c>
      <c r="AS498" s="379">
        <f t="shared" si="549"/>
        <v>0</v>
      </c>
      <c r="AT498" s="379">
        <f t="shared" si="550"/>
        <v>0</v>
      </c>
      <c r="AU498" s="379">
        <f t="shared" si="551"/>
        <v>0</v>
      </c>
      <c r="AV498" s="379">
        <f t="shared" si="552"/>
        <v>0</v>
      </c>
      <c r="AW498" s="379">
        <f t="shared" si="553"/>
        <v>0</v>
      </c>
      <c r="AX498" s="379">
        <f t="shared" si="554"/>
        <v>0</v>
      </c>
      <c r="AY498" s="379">
        <f t="shared" si="555"/>
        <v>0</v>
      </c>
    </row>
    <row r="499" spans="1:51" x14ac:dyDescent="0.2">
      <c r="A499" s="376">
        <v>11730</v>
      </c>
      <c r="B499" s="378" t="str">
        <f t="shared" si="508"/>
        <v>Clarence Valley (A)</v>
      </c>
      <c r="C499" s="377" t="str">
        <f t="shared" si="509"/>
        <v>NEWF</v>
      </c>
      <c r="D499" s="503" t="str">
        <f t="shared" si="510"/>
        <v>R</v>
      </c>
      <c r="E499" s="503"/>
      <c r="F499"/>
      <c r="G499" s="379">
        <f t="shared" si="511"/>
        <v>51211</v>
      </c>
      <c r="H499" s="379">
        <f t="shared" si="512"/>
        <v>23646</v>
      </c>
      <c r="I499" s="379">
        <f t="shared" si="513"/>
        <v>310</v>
      </c>
      <c r="J499" s="379" t="str">
        <f t="shared" si="514"/>
        <v>Y</v>
      </c>
      <c r="K499" s="379">
        <f t="shared" si="515"/>
        <v>22149</v>
      </c>
      <c r="L499" s="379">
        <f t="shared" si="516"/>
        <v>0</v>
      </c>
      <c r="M499" s="379">
        <f t="shared" si="517"/>
        <v>22105</v>
      </c>
      <c r="N499" s="379">
        <f t="shared" si="518"/>
        <v>0</v>
      </c>
      <c r="O499" s="379">
        <f t="shared" si="519"/>
        <v>17912</v>
      </c>
      <c r="P499" s="379" t="str">
        <f t="shared" si="520"/>
        <v>Y</v>
      </c>
      <c r="Q499" s="379" t="str">
        <f t="shared" si="521"/>
        <v>Y</v>
      </c>
      <c r="R499" s="379" t="str">
        <f t="shared" si="522"/>
        <v>Grafton Landfill</v>
      </c>
      <c r="S499" s="379" t="str">
        <f t="shared" si="523"/>
        <v>Glenreagh WTS</v>
      </c>
      <c r="T499" s="379" t="str">
        <f t="shared" si="524"/>
        <v>Grafton WTS</v>
      </c>
      <c r="U499" s="379" t="str">
        <f t="shared" si="525"/>
        <v>Maclean WTS</v>
      </c>
      <c r="V499" s="379" t="str">
        <f t="shared" si="526"/>
        <v>Tyringham WTS</v>
      </c>
      <c r="W499" s="379" t="str">
        <f t="shared" si="527"/>
        <v>Copmanhurst &amp; Iluka &amp; Baryulgil</v>
      </c>
      <c r="X499" s="379">
        <f t="shared" si="528"/>
        <v>0</v>
      </c>
      <c r="Y499" s="379">
        <f t="shared" si="529"/>
        <v>0</v>
      </c>
      <c r="Z499" s="379">
        <f t="shared" si="530"/>
        <v>0</v>
      </c>
      <c r="AA499" s="379">
        <f t="shared" si="531"/>
        <v>0</v>
      </c>
      <c r="AB499" s="379">
        <f t="shared" si="532"/>
        <v>0</v>
      </c>
      <c r="AC499" s="379">
        <f t="shared" si="533"/>
        <v>0</v>
      </c>
      <c r="AD499" s="379">
        <f t="shared" si="534"/>
        <v>0</v>
      </c>
      <c r="AE499" s="379">
        <f t="shared" si="535"/>
        <v>0</v>
      </c>
      <c r="AF499" s="379">
        <f t="shared" si="536"/>
        <v>0</v>
      </c>
      <c r="AG499" s="379">
        <f t="shared" si="537"/>
        <v>0</v>
      </c>
      <c r="AH499" s="379">
        <f t="shared" si="538"/>
        <v>0</v>
      </c>
      <c r="AI499" s="379">
        <f t="shared" si="539"/>
        <v>0</v>
      </c>
      <c r="AJ499" s="379">
        <f t="shared" si="540"/>
        <v>0</v>
      </c>
      <c r="AK499" s="379">
        <f t="shared" si="541"/>
        <v>0</v>
      </c>
      <c r="AL499" s="379">
        <f t="shared" si="542"/>
        <v>0</v>
      </c>
      <c r="AM499" s="379">
        <f t="shared" si="543"/>
        <v>0</v>
      </c>
      <c r="AN499" s="490">
        <f t="shared" si="544"/>
        <v>0</v>
      </c>
      <c r="AO499" s="379">
        <f t="shared" si="545"/>
        <v>0</v>
      </c>
      <c r="AP499" s="379">
        <f t="shared" si="546"/>
        <v>0</v>
      </c>
      <c r="AQ499" s="379">
        <f t="shared" si="547"/>
        <v>0</v>
      </c>
      <c r="AR499" s="379">
        <f t="shared" si="548"/>
        <v>0</v>
      </c>
      <c r="AS499" s="379">
        <f t="shared" si="549"/>
        <v>0</v>
      </c>
      <c r="AT499" s="379">
        <f t="shared" si="550"/>
        <v>0</v>
      </c>
      <c r="AU499" s="379">
        <f t="shared" si="551"/>
        <v>0</v>
      </c>
      <c r="AV499" s="379">
        <f t="shared" si="552"/>
        <v>0</v>
      </c>
      <c r="AW499" s="379">
        <f t="shared" si="553"/>
        <v>0</v>
      </c>
      <c r="AX499" s="379">
        <f t="shared" si="554"/>
        <v>0</v>
      </c>
      <c r="AY499" s="379">
        <f t="shared" si="555"/>
        <v>0</v>
      </c>
    </row>
    <row r="500" spans="1:51" x14ac:dyDescent="0.2">
      <c r="A500" s="376">
        <v>14550</v>
      </c>
      <c r="B500" s="378" t="str">
        <f t="shared" si="508"/>
        <v>Kyogle (A)</v>
      </c>
      <c r="C500" s="377" t="str">
        <f t="shared" si="509"/>
        <v>NEWF</v>
      </c>
      <c r="D500" s="503" t="str">
        <f t="shared" si="510"/>
        <v>R</v>
      </c>
      <c r="E500" s="503"/>
      <c r="F500"/>
      <c r="G500" s="379">
        <f t="shared" si="511"/>
        <v>9542</v>
      </c>
      <c r="H500" s="379">
        <f t="shared" si="512"/>
        <v>4022</v>
      </c>
      <c r="I500" s="379">
        <f t="shared" si="513"/>
        <v>450</v>
      </c>
      <c r="J500" s="379" t="str">
        <f t="shared" si="514"/>
        <v>Y</v>
      </c>
      <c r="K500" s="379">
        <f t="shared" si="515"/>
        <v>2016</v>
      </c>
      <c r="L500" s="379">
        <f t="shared" si="516"/>
        <v>0</v>
      </c>
      <c r="M500" s="379">
        <f t="shared" si="517"/>
        <v>2016</v>
      </c>
      <c r="N500" s="379">
        <f t="shared" si="518"/>
        <v>0</v>
      </c>
      <c r="O500" s="379">
        <f t="shared" si="519"/>
        <v>0</v>
      </c>
      <c r="P500" s="379">
        <f t="shared" si="520"/>
        <v>0</v>
      </c>
      <c r="Q500" s="379" t="str">
        <f t="shared" si="521"/>
        <v>Y</v>
      </c>
      <c r="R500" s="379" t="str">
        <f t="shared" si="522"/>
        <v>Kyogle Landfill</v>
      </c>
      <c r="S500" s="379" t="str">
        <f t="shared" si="523"/>
        <v>Woodenbong Landfill</v>
      </c>
      <c r="T500" s="379">
        <f t="shared" si="524"/>
        <v>0</v>
      </c>
      <c r="U500" s="379">
        <f t="shared" si="525"/>
        <v>0</v>
      </c>
      <c r="V500" s="379">
        <f t="shared" si="526"/>
        <v>0</v>
      </c>
      <c r="W500" s="379">
        <f t="shared" si="527"/>
        <v>0</v>
      </c>
      <c r="X500" s="379">
        <f t="shared" si="528"/>
        <v>0</v>
      </c>
      <c r="Y500" s="379">
        <f t="shared" si="529"/>
        <v>0</v>
      </c>
      <c r="Z500" s="379">
        <f t="shared" si="530"/>
        <v>0</v>
      </c>
      <c r="AA500" s="379">
        <f t="shared" si="531"/>
        <v>0</v>
      </c>
      <c r="AB500" s="379">
        <f t="shared" si="532"/>
        <v>0</v>
      </c>
      <c r="AC500" s="379">
        <f t="shared" si="533"/>
        <v>0</v>
      </c>
      <c r="AD500" s="379">
        <f t="shared" si="534"/>
        <v>0</v>
      </c>
      <c r="AE500" s="379">
        <f t="shared" si="535"/>
        <v>0</v>
      </c>
      <c r="AF500" s="379">
        <f t="shared" si="536"/>
        <v>0</v>
      </c>
      <c r="AG500" s="379">
        <f t="shared" si="537"/>
        <v>0</v>
      </c>
      <c r="AH500" s="379">
        <f t="shared" si="538"/>
        <v>0</v>
      </c>
      <c r="AI500" s="379">
        <f t="shared" si="539"/>
        <v>0</v>
      </c>
      <c r="AJ500" s="379">
        <f t="shared" si="540"/>
        <v>0</v>
      </c>
      <c r="AK500" s="379">
        <f t="shared" si="541"/>
        <v>0</v>
      </c>
      <c r="AL500" s="379">
        <f t="shared" si="542"/>
        <v>0</v>
      </c>
      <c r="AM500" s="379">
        <f t="shared" si="543"/>
        <v>0</v>
      </c>
      <c r="AN500" s="490">
        <f t="shared" si="544"/>
        <v>0</v>
      </c>
      <c r="AO500" s="379">
        <f t="shared" si="545"/>
        <v>0</v>
      </c>
      <c r="AP500" s="379">
        <f t="shared" si="546"/>
        <v>0</v>
      </c>
      <c r="AQ500" s="379">
        <f t="shared" si="547"/>
        <v>0</v>
      </c>
      <c r="AR500" s="379">
        <f t="shared" si="548"/>
        <v>0</v>
      </c>
      <c r="AS500" s="379">
        <f t="shared" si="549"/>
        <v>0</v>
      </c>
      <c r="AT500" s="379">
        <f t="shared" si="550"/>
        <v>0</v>
      </c>
      <c r="AU500" s="379">
        <f t="shared" si="551"/>
        <v>0</v>
      </c>
      <c r="AV500" s="379">
        <f t="shared" si="552"/>
        <v>0</v>
      </c>
      <c r="AW500" s="379">
        <f t="shared" si="553"/>
        <v>0</v>
      </c>
      <c r="AX500" s="379">
        <f t="shared" si="554"/>
        <v>0</v>
      </c>
      <c r="AY500" s="379">
        <f t="shared" si="555"/>
        <v>0</v>
      </c>
    </row>
    <row r="501" spans="1:51" x14ac:dyDescent="0.2">
      <c r="A501" s="376">
        <v>14850</v>
      </c>
      <c r="B501" s="378" t="str">
        <f t="shared" si="508"/>
        <v>Lismore (C)</v>
      </c>
      <c r="C501" s="377" t="str">
        <f t="shared" si="509"/>
        <v>NEWF</v>
      </c>
      <c r="D501" s="503" t="str">
        <f t="shared" si="510"/>
        <v>R</v>
      </c>
      <c r="E501" s="503"/>
      <c r="F501"/>
      <c r="G501" s="379">
        <f t="shared" si="511"/>
        <v>44993</v>
      </c>
      <c r="H501" s="379">
        <f t="shared" si="512"/>
        <v>16194</v>
      </c>
      <c r="I501" s="379">
        <f t="shared" si="513"/>
        <v>290</v>
      </c>
      <c r="J501" s="379" t="str">
        <f t="shared" si="514"/>
        <v>Y</v>
      </c>
      <c r="K501" s="379">
        <f t="shared" si="515"/>
        <v>14777</v>
      </c>
      <c r="L501" s="379">
        <f t="shared" si="516"/>
        <v>0</v>
      </c>
      <c r="M501" s="379">
        <f t="shared" si="517"/>
        <v>14777</v>
      </c>
      <c r="N501" s="379">
        <f t="shared" si="518"/>
        <v>0</v>
      </c>
      <c r="O501" s="379">
        <f t="shared" si="519"/>
        <v>12683</v>
      </c>
      <c r="P501" s="379">
        <f t="shared" si="520"/>
        <v>0</v>
      </c>
      <c r="Q501" s="379" t="str">
        <f t="shared" si="521"/>
        <v>Y</v>
      </c>
      <c r="R501" s="379" t="str">
        <f t="shared" si="522"/>
        <v>Nimbin Transfer Station</v>
      </c>
      <c r="S501" s="379" t="str">
        <f t="shared" si="523"/>
        <v>Brewster Street Drop Off Centre</v>
      </c>
      <c r="T501" s="379" t="str">
        <f t="shared" si="524"/>
        <v>Lismore Recycling and Recovery Centre</v>
      </c>
      <c r="U501" s="379">
        <f t="shared" si="525"/>
        <v>0</v>
      </c>
      <c r="V501" s="379">
        <f t="shared" si="526"/>
        <v>0</v>
      </c>
      <c r="W501" s="379">
        <f t="shared" si="527"/>
        <v>0</v>
      </c>
      <c r="X501" s="379">
        <f t="shared" si="528"/>
        <v>0</v>
      </c>
      <c r="Y501" s="379">
        <f t="shared" si="529"/>
        <v>0</v>
      </c>
      <c r="Z501" s="379">
        <f t="shared" si="530"/>
        <v>0</v>
      </c>
      <c r="AA501" s="379">
        <f t="shared" si="531"/>
        <v>0</v>
      </c>
      <c r="AB501" s="379">
        <f t="shared" si="532"/>
        <v>0</v>
      </c>
      <c r="AC501" s="379">
        <f t="shared" si="533"/>
        <v>0</v>
      </c>
      <c r="AD501" s="379">
        <f t="shared" si="534"/>
        <v>0</v>
      </c>
      <c r="AE501" s="379">
        <f t="shared" si="535"/>
        <v>0</v>
      </c>
      <c r="AF501" s="379">
        <f t="shared" si="536"/>
        <v>0</v>
      </c>
      <c r="AG501" s="379">
        <f t="shared" si="537"/>
        <v>0</v>
      </c>
      <c r="AH501" s="379">
        <f t="shared" si="538"/>
        <v>0</v>
      </c>
      <c r="AI501" s="379">
        <f t="shared" si="539"/>
        <v>0</v>
      </c>
      <c r="AJ501" s="379">
        <f t="shared" si="540"/>
        <v>0</v>
      </c>
      <c r="AK501" s="379">
        <f t="shared" si="541"/>
        <v>0</v>
      </c>
      <c r="AL501" s="379">
        <f t="shared" si="542"/>
        <v>0</v>
      </c>
      <c r="AM501" s="379">
        <f t="shared" si="543"/>
        <v>0</v>
      </c>
      <c r="AN501" s="490">
        <f t="shared" si="544"/>
        <v>0</v>
      </c>
      <c r="AO501" s="379">
        <f t="shared" si="545"/>
        <v>0</v>
      </c>
      <c r="AP501" s="379">
        <f t="shared" si="546"/>
        <v>0</v>
      </c>
      <c r="AQ501" s="379">
        <f t="shared" si="547"/>
        <v>0</v>
      </c>
      <c r="AR501" s="379">
        <f t="shared" si="548"/>
        <v>0</v>
      </c>
      <c r="AS501" s="379">
        <f t="shared" si="549"/>
        <v>0</v>
      </c>
      <c r="AT501" s="379">
        <f t="shared" si="550"/>
        <v>0</v>
      </c>
      <c r="AU501" s="379">
        <f t="shared" si="551"/>
        <v>0</v>
      </c>
      <c r="AV501" s="379">
        <f t="shared" si="552"/>
        <v>0</v>
      </c>
      <c r="AW501" s="379">
        <f t="shared" si="553"/>
        <v>0</v>
      </c>
      <c r="AX501" s="379">
        <f t="shared" si="554"/>
        <v>0</v>
      </c>
      <c r="AY501" s="379">
        <f t="shared" si="555"/>
        <v>0</v>
      </c>
    </row>
    <row r="502" spans="1:51" x14ac:dyDescent="0.2">
      <c r="A502" s="376">
        <v>16610</v>
      </c>
      <c r="B502" s="378" t="str">
        <f t="shared" si="508"/>
        <v>Richmond Valley (A)</v>
      </c>
      <c r="C502" s="377" t="str">
        <f t="shared" si="509"/>
        <v>NEWF</v>
      </c>
      <c r="D502" s="503" t="str">
        <f t="shared" si="510"/>
        <v>R</v>
      </c>
      <c r="E502" s="503"/>
      <c r="F502"/>
      <c r="G502" s="379">
        <f t="shared" si="511"/>
        <v>23426</v>
      </c>
      <c r="H502" s="379">
        <f t="shared" si="512"/>
        <v>9892</v>
      </c>
      <c r="I502" s="379">
        <f t="shared" si="513"/>
        <v>425</v>
      </c>
      <c r="J502" s="379" t="str">
        <f t="shared" si="514"/>
        <v>Y</v>
      </c>
      <c r="K502" s="379">
        <f t="shared" si="515"/>
        <v>7471</v>
      </c>
      <c r="L502" s="379">
        <f t="shared" si="516"/>
        <v>0</v>
      </c>
      <c r="M502" s="379">
        <f t="shared" si="517"/>
        <v>7482</v>
      </c>
      <c r="N502" s="379">
        <f t="shared" si="518"/>
        <v>0</v>
      </c>
      <c r="O502" s="379">
        <f t="shared" si="519"/>
        <v>7465</v>
      </c>
      <c r="P502" s="379" t="str">
        <f t="shared" si="520"/>
        <v>Y</v>
      </c>
      <c r="Q502" s="379" t="str">
        <f t="shared" si="521"/>
        <v>Y</v>
      </c>
      <c r="R502" s="379" t="str">
        <f t="shared" si="522"/>
        <v>Nammoona Waste Facility</v>
      </c>
      <c r="S502" s="379" t="str">
        <f t="shared" si="523"/>
        <v>Evans Head Transfer Station</v>
      </c>
      <c r="T502" s="379" t="str">
        <f t="shared" si="524"/>
        <v>Bora Ridge Transfer Station</v>
      </c>
      <c r="U502" s="379" t="str">
        <f t="shared" si="525"/>
        <v>Rappville Transfer Station</v>
      </c>
      <c r="V502" s="379">
        <f t="shared" si="526"/>
        <v>0</v>
      </c>
      <c r="W502" s="379">
        <f t="shared" si="527"/>
        <v>0</v>
      </c>
      <c r="X502" s="379">
        <f t="shared" si="528"/>
        <v>0</v>
      </c>
      <c r="Y502" s="379">
        <f t="shared" si="529"/>
        <v>0</v>
      </c>
      <c r="Z502" s="379">
        <f t="shared" si="530"/>
        <v>0</v>
      </c>
      <c r="AA502" s="379">
        <f t="shared" si="531"/>
        <v>0</v>
      </c>
      <c r="AB502" s="379">
        <f t="shared" si="532"/>
        <v>0</v>
      </c>
      <c r="AC502" s="379">
        <f t="shared" si="533"/>
        <v>0</v>
      </c>
      <c r="AD502" s="379">
        <f t="shared" si="534"/>
        <v>0</v>
      </c>
      <c r="AE502" s="379">
        <f t="shared" si="535"/>
        <v>0</v>
      </c>
      <c r="AF502" s="379">
        <f t="shared" si="536"/>
        <v>0</v>
      </c>
      <c r="AG502" s="379">
        <f t="shared" si="537"/>
        <v>0</v>
      </c>
      <c r="AH502" s="379">
        <f t="shared" si="538"/>
        <v>0</v>
      </c>
      <c r="AI502" s="379">
        <f t="shared" si="539"/>
        <v>0</v>
      </c>
      <c r="AJ502" s="379">
        <f t="shared" si="540"/>
        <v>0</v>
      </c>
      <c r="AK502" s="379">
        <f t="shared" si="541"/>
        <v>0</v>
      </c>
      <c r="AL502" s="379">
        <f t="shared" si="542"/>
        <v>0</v>
      </c>
      <c r="AM502" s="379">
        <f t="shared" si="543"/>
        <v>0</v>
      </c>
      <c r="AN502" s="490">
        <f t="shared" si="544"/>
        <v>0</v>
      </c>
      <c r="AO502" s="379">
        <f t="shared" si="545"/>
        <v>0</v>
      </c>
      <c r="AP502" s="379">
        <f t="shared" si="546"/>
        <v>0</v>
      </c>
      <c r="AQ502" s="379">
        <f t="shared" si="547"/>
        <v>0</v>
      </c>
      <c r="AR502" s="379">
        <f t="shared" si="548"/>
        <v>0</v>
      </c>
      <c r="AS502" s="379">
        <f t="shared" si="549"/>
        <v>0</v>
      </c>
      <c r="AT502" s="379">
        <f t="shared" si="550"/>
        <v>0</v>
      </c>
      <c r="AU502" s="379">
        <f t="shared" si="551"/>
        <v>0</v>
      </c>
      <c r="AV502" s="379">
        <f t="shared" si="552"/>
        <v>0</v>
      </c>
      <c r="AW502" s="379">
        <f t="shared" si="553"/>
        <v>0</v>
      </c>
      <c r="AX502" s="379">
        <f t="shared" si="554"/>
        <v>0</v>
      </c>
      <c r="AY502" s="379">
        <f t="shared" si="555"/>
        <v>0</v>
      </c>
    </row>
    <row r="503" spans="1:51" ht="13.5" thickBot="1" x14ac:dyDescent="0.25">
      <c r="A503" s="376">
        <v>17550</v>
      </c>
      <c r="B503" s="378" t="str">
        <f t="shared" si="508"/>
        <v>Tweed (A)</v>
      </c>
      <c r="C503" s="377" t="str">
        <f t="shared" si="509"/>
        <v>NEWF</v>
      </c>
      <c r="D503" s="503" t="str">
        <f t="shared" si="510"/>
        <v>R</v>
      </c>
      <c r="E503" s="503"/>
      <c r="F503"/>
      <c r="G503" s="379">
        <f t="shared" si="511"/>
        <v>94011</v>
      </c>
      <c r="H503" s="379">
        <f t="shared" si="512"/>
        <v>36870</v>
      </c>
      <c r="I503" s="379">
        <f t="shared" si="513"/>
        <v>440.3</v>
      </c>
      <c r="J503" s="379" t="str">
        <f t="shared" si="514"/>
        <v>Y</v>
      </c>
      <c r="K503" s="379">
        <f t="shared" si="515"/>
        <v>34468</v>
      </c>
      <c r="L503" s="379">
        <f t="shared" si="516"/>
        <v>0</v>
      </c>
      <c r="M503" s="379">
        <f t="shared" si="517"/>
        <v>36242</v>
      </c>
      <c r="N503" s="379">
        <f t="shared" si="518"/>
        <v>17996</v>
      </c>
      <c r="O503" s="379">
        <f t="shared" si="519"/>
        <v>0</v>
      </c>
      <c r="P503" s="379" t="str">
        <f t="shared" si="520"/>
        <v>Y</v>
      </c>
      <c r="Q503" s="379" t="str">
        <f t="shared" si="521"/>
        <v>Y</v>
      </c>
      <c r="R503" s="379" t="str">
        <f t="shared" si="522"/>
        <v>Stotts Creek Resource Recovery Centre</v>
      </c>
      <c r="S503" s="379">
        <f t="shared" si="523"/>
        <v>0</v>
      </c>
      <c r="T503" s="379">
        <f t="shared" si="524"/>
        <v>0</v>
      </c>
      <c r="U503" s="379">
        <f t="shared" si="525"/>
        <v>0</v>
      </c>
      <c r="V503" s="379">
        <f t="shared" si="526"/>
        <v>0</v>
      </c>
      <c r="W503" s="379">
        <f t="shared" si="527"/>
        <v>0</v>
      </c>
      <c r="X503" s="379">
        <f t="shared" si="528"/>
        <v>0</v>
      </c>
      <c r="Y503" s="379">
        <f t="shared" si="529"/>
        <v>0</v>
      </c>
      <c r="Z503" s="379">
        <f t="shared" si="530"/>
        <v>0</v>
      </c>
      <c r="AA503" s="379">
        <f t="shared" si="531"/>
        <v>0</v>
      </c>
      <c r="AB503" s="379">
        <f t="shared" si="532"/>
        <v>0</v>
      </c>
      <c r="AC503" s="379">
        <f t="shared" si="533"/>
        <v>0</v>
      </c>
      <c r="AD503" s="379">
        <f t="shared" si="534"/>
        <v>0</v>
      </c>
      <c r="AE503" s="379">
        <f t="shared" si="535"/>
        <v>0</v>
      </c>
      <c r="AF503" s="379">
        <f t="shared" si="536"/>
        <v>0</v>
      </c>
      <c r="AG503" s="379">
        <f t="shared" si="537"/>
        <v>0</v>
      </c>
      <c r="AH503" s="379">
        <f t="shared" si="538"/>
        <v>0</v>
      </c>
      <c r="AI503" s="379">
        <f t="shared" si="539"/>
        <v>0</v>
      </c>
      <c r="AJ503" s="379">
        <f t="shared" si="540"/>
        <v>0</v>
      </c>
      <c r="AK503" s="379">
        <f t="shared" si="541"/>
        <v>0</v>
      </c>
      <c r="AL503" s="379">
        <f t="shared" si="542"/>
        <v>0</v>
      </c>
      <c r="AM503" s="379">
        <f t="shared" si="543"/>
        <v>0</v>
      </c>
      <c r="AN503" s="490">
        <f t="shared" si="544"/>
        <v>0</v>
      </c>
      <c r="AO503" s="379">
        <f t="shared" si="545"/>
        <v>0</v>
      </c>
      <c r="AP503" s="379">
        <f t="shared" si="546"/>
        <v>0</v>
      </c>
      <c r="AQ503" s="379">
        <f t="shared" si="547"/>
        <v>0</v>
      </c>
      <c r="AR503" s="379">
        <f t="shared" si="548"/>
        <v>0</v>
      </c>
      <c r="AS503" s="379">
        <f t="shared" si="549"/>
        <v>0</v>
      </c>
      <c r="AT503" s="379">
        <f t="shared" si="550"/>
        <v>0</v>
      </c>
      <c r="AU503" s="379">
        <f t="shared" si="551"/>
        <v>0</v>
      </c>
      <c r="AV503" s="379">
        <f t="shared" si="552"/>
        <v>0</v>
      </c>
      <c r="AW503" s="379">
        <f t="shared" si="553"/>
        <v>0</v>
      </c>
      <c r="AX503" s="379">
        <f t="shared" si="554"/>
        <v>0</v>
      </c>
      <c r="AY503" s="379">
        <f t="shared" si="555"/>
        <v>0</v>
      </c>
    </row>
    <row r="504" spans="1:51" ht="13.5" thickTop="1" x14ac:dyDescent="0.2">
      <c r="A504" s="380"/>
      <c r="B504" s="380"/>
      <c r="C504" s="380" t="s">
        <v>264</v>
      </c>
      <c r="D504" s="380"/>
      <c r="E504" s="484"/>
      <c r="F504" s="381"/>
      <c r="G504" s="382">
        <f t="shared" ref="G504:AY504" si="556">COUNTIF(G497:G503,"&gt;0")</f>
        <v>7</v>
      </c>
      <c r="H504" s="382">
        <f t="shared" si="556"/>
        <v>7</v>
      </c>
      <c r="I504" s="382">
        <f t="shared" si="556"/>
        <v>7</v>
      </c>
      <c r="J504" s="382">
        <f t="shared" si="556"/>
        <v>0</v>
      </c>
      <c r="K504" s="382">
        <f t="shared" si="556"/>
        <v>7</v>
      </c>
      <c r="L504" s="382">
        <f t="shared" si="556"/>
        <v>0</v>
      </c>
      <c r="M504" s="382">
        <f t="shared" si="556"/>
        <v>7</v>
      </c>
      <c r="N504" s="382">
        <f t="shared" si="556"/>
        <v>1</v>
      </c>
      <c r="O504" s="382">
        <f t="shared" si="556"/>
        <v>5</v>
      </c>
      <c r="P504" s="382">
        <f t="shared" si="556"/>
        <v>0</v>
      </c>
      <c r="Q504" s="382">
        <f t="shared" si="556"/>
        <v>0</v>
      </c>
      <c r="R504" s="382">
        <f t="shared" si="556"/>
        <v>0</v>
      </c>
      <c r="S504" s="382">
        <f t="shared" si="556"/>
        <v>0</v>
      </c>
      <c r="T504" s="382">
        <f t="shared" si="556"/>
        <v>0</v>
      </c>
      <c r="U504" s="382">
        <f t="shared" si="556"/>
        <v>0</v>
      </c>
      <c r="V504" s="382">
        <f t="shared" si="556"/>
        <v>0</v>
      </c>
      <c r="W504" s="382">
        <f t="shared" si="556"/>
        <v>0</v>
      </c>
      <c r="X504" s="382">
        <f t="shared" si="556"/>
        <v>0</v>
      </c>
      <c r="Y504" s="382">
        <f t="shared" si="556"/>
        <v>0</v>
      </c>
      <c r="Z504" s="382">
        <f t="shared" si="556"/>
        <v>0</v>
      </c>
      <c r="AA504" s="382">
        <f t="shared" si="556"/>
        <v>0</v>
      </c>
      <c r="AB504" s="382">
        <f t="shared" si="556"/>
        <v>0</v>
      </c>
      <c r="AC504" s="382">
        <f t="shared" si="556"/>
        <v>0</v>
      </c>
      <c r="AD504" s="382">
        <f t="shared" si="556"/>
        <v>0</v>
      </c>
      <c r="AE504" s="382">
        <f t="shared" si="556"/>
        <v>0</v>
      </c>
      <c r="AF504" s="382">
        <f t="shared" si="556"/>
        <v>0</v>
      </c>
      <c r="AG504" s="382">
        <f t="shared" si="556"/>
        <v>0</v>
      </c>
      <c r="AH504" s="382">
        <f t="shared" si="556"/>
        <v>0</v>
      </c>
      <c r="AI504" s="382">
        <f t="shared" si="556"/>
        <v>0</v>
      </c>
      <c r="AJ504" s="382">
        <f t="shared" si="556"/>
        <v>0</v>
      </c>
      <c r="AK504" s="382">
        <f t="shared" si="556"/>
        <v>0</v>
      </c>
      <c r="AL504" s="382">
        <f t="shared" si="556"/>
        <v>0</v>
      </c>
      <c r="AM504" s="382">
        <f t="shared" si="556"/>
        <v>0</v>
      </c>
      <c r="AN504" s="485">
        <f t="shared" si="556"/>
        <v>0</v>
      </c>
      <c r="AO504" s="382">
        <f t="shared" si="556"/>
        <v>0</v>
      </c>
      <c r="AP504" s="382">
        <f t="shared" si="556"/>
        <v>0</v>
      </c>
      <c r="AQ504" s="382">
        <f t="shared" si="556"/>
        <v>0</v>
      </c>
      <c r="AR504" s="382">
        <f t="shared" si="556"/>
        <v>0</v>
      </c>
      <c r="AS504" s="382">
        <f t="shared" si="556"/>
        <v>0</v>
      </c>
      <c r="AT504" s="382">
        <f t="shared" si="556"/>
        <v>0</v>
      </c>
      <c r="AU504" s="382">
        <f t="shared" si="556"/>
        <v>0</v>
      </c>
      <c r="AV504" s="382">
        <f t="shared" si="556"/>
        <v>0</v>
      </c>
      <c r="AW504" s="382">
        <f t="shared" si="556"/>
        <v>0</v>
      </c>
      <c r="AX504" s="382">
        <f t="shared" si="556"/>
        <v>0</v>
      </c>
      <c r="AY504" s="382">
        <f t="shared" si="556"/>
        <v>0</v>
      </c>
    </row>
    <row r="505" spans="1:51" x14ac:dyDescent="0.2">
      <c r="A505" s="376"/>
      <c r="B505" s="376"/>
      <c r="C505" s="376" t="s">
        <v>265</v>
      </c>
      <c r="D505" s="376"/>
      <c r="E505" s="488"/>
      <c r="F505" s="384"/>
      <c r="G505" s="385">
        <f t="shared" ref="G505:AY505" si="557">SUM(G497:G503)</f>
        <v>299017</v>
      </c>
      <c r="H505" s="385">
        <f t="shared" si="557"/>
        <v>123716</v>
      </c>
      <c r="I505" s="385">
        <f t="shared" si="557"/>
        <v>2549.3000000000002</v>
      </c>
      <c r="J505" s="385">
        <f t="shared" si="557"/>
        <v>0</v>
      </c>
      <c r="K505" s="385">
        <f t="shared" si="557"/>
        <v>112151</v>
      </c>
      <c r="L505" s="385">
        <f t="shared" si="557"/>
        <v>0</v>
      </c>
      <c r="M505" s="385">
        <f t="shared" si="557"/>
        <v>113983</v>
      </c>
      <c r="N505" s="385">
        <f t="shared" si="557"/>
        <v>17996</v>
      </c>
      <c r="O505" s="385">
        <f t="shared" si="557"/>
        <v>63208</v>
      </c>
      <c r="P505" s="385">
        <f t="shared" si="557"/>
        <v>0</v>
      </c>
      <c r="Q505" s="385">
        <f t="shared" si="557"/>
        <v>0</v>
      </c>
      <c r="R505" s="385">
        <f t="shared" si="557"/>
        <v>0</v>
      </c>
      <c r="S505" s="385">
        <f t="shared" si="557"/>
        <v>0</v>
      </c>
      <c r="T505" s="385">
        <f t="shared" si="557"/>
        <v>0</v>
      </c>
      <c r="U505" s="385">
        <f t="shared" si="557"/>
        <v>0</v>
      </c>
      <c r="V505" s="385">
        <f t="shared" si="557"/>
        <v>0</v>
      </c>
      <c r="W505" s="385">
        <f t="shared" si="557"/>
        <v>0</v>
      </c>
      <c r="X505" s="385">
        <f t="shared" si="557"/>
        <v>0</v>
      </c>
      <c r="Y505" s="385">
        <f t="shared" si="557"/>
        <v>0</v>
      </c>
      <c r="Z505" s="385">
        <f t="shared" si="557"/>
        <v>0</v>
      </c>
      <c r="AA505" s="385">
        <f t="shared" si="557"/>
        <v>0</v>
      </c>
      <c r="AB505" s="385">
        <f t="shared" si="557"/>
        <v>0</v>
      </c>
      <c r="AC505" s="385">
        <f t="shared" si="557"/>
        <v>0</v>
      </c>
      <c r="AD505" s="385">
        <f t="shared" si="557"/>
        <v>0</v>
      </c>
      <c r="AE505" s="385">
        <f t="shared" si="557"/>
        <v>0</v>
      </c>
      <c r="AF505" s="385">
        <f t="shared" si="557"/>
        <v>0</v>
      </c>
      <c r="AG505" s="385">
        <f t="shared" si="557"/>
        <v>0</v>
      </c>
      <c r="AH505" s="385">
        <f t="shared" si="557"/>
        <v>0</v>
      </c>
      <c r="AI505" s="385">
        <f t="shared" si="557"/>
        <v>0</v>
      </c>
      <c r="AJ505" s="385">
        <f t="shared" si="557"/>
        <v>0</v>
      </c>
      <c r="AK505" s="385">
        <f t="shared" si="557"/>
        <v>0</v>
      </c>
      <c r="AL505" s="385">
        <f t="shared" si="557"/>
        <v>0</v>
      </c>
      <c r="AM505" s="385">
        <f t="shared" si="557"/>
        <v>0</v>
      </c>
      <c r="AN505" s="489">
        <f t="shared" si="557"/>
        <v>0</v>
      </c>
      <c r="AO505" s="385">
        <f t="shared" si="557"/>
        <v>0</v>
      </c>
      <c r="AP505" s="385">
        <f t="shared" si="557"/>
        <v>0</v>
      </c>
      <c r="AQ505" s="385">
        <f t="shared" si="557"/>
        <v>0</v>
      </c>
      <c r="AR505" s="385">
        <f t="shared" si="557"/>
        <v>0</v>
      </c>
      <c r="AS505" s="385">
        <f t="shared" si="557"/>
        <v>0</v>
      </c>
      <c r="AT505" s="385">
        <f t="shared" si="557"/>
        <v>0</v>
      </c>
      <c r="AU505" s="385">
        <f t="shared" si="557"/>
        <v>0</v>
      </c>
      <c r="AV505" s="385">
        <f t="shared" si="557"/>
        <v>0</v>
      </c>
      <c r="AW505" s="385">
        <f t="shared" si="557"/>
        <v>0</v>
      </c>
      <c r="AX505" s="385">
        <f t="shared" si="557"/>
        <v>0</v>
      </c>
      <c r="AY505" s="385">
        <f t="shared" si="557"/>
        <v>0</v>
      </c>
    </row>
    <row r="506" spans="1:51" x14ac:dyDescent="0.2">
      <c r="A506" s="376"/>
      <c r="B506" s="376"/>
      <c r="C506" s="376" t="s">
        <v>266</v>
      </c>
      <c r="D506" s="376"/>
      <c r="E506" s="488"/>
      <c r="F506" s="384"/>
      <c r="G506" s="379">
        <f t="shared" ref="G506:AY506" si="558">MIN(G497:G503)</f>
        <v>9542</v>
      </c>
      <c r="H506" s="379">
        <f t="shared" si="558"/>
        <v>4022</v>
      </c>
      <c r="I506" s="379">
        <f t="shared" si="558"/>
        <v>260</v>
      </c>
      <c r="J506" s="379">
        <f t="shared" si="558"/>
        <v>0</v>
      </c>
      <c r="K506" s="379">
        <f t="shared" si="558"/>
        <v>2016</v>
      </c>
      <c r="L506" s="379">
        <f t="shared" si="558"/>
        <v>0</v>
      </c>
      <c r="M506" s="379">
        <f t="shared" si="558"/>
        <v>2016</v>
      </c>
      <c r="N506" s="379">
        <f t="shared" si="558"/>
        <v>0</v>
      </c>
      <c r="O506" s="379">
        <f t="shared" si="558"/>
        <v>0</v>
      </c>
      <c r="P506" s="379">
        <f t="shared" si="558"/>
        <v>0</v>
      </c>
      <c r="Q506" s="379">
        <f t="shared" si="558"/>
        <v>0</v>
      </c>
      <c r="R506" s="379">
        <f t="shared" si="558"/>
        <v>0</v>
      </c>
      <c r="S506" s="379">
        <f t="shared" si="558"/>
        <v>0</v>
      </c>
      <c r="T506" s="379">
        <f t="shared" si="558"/>
        <v>0</v>
      </c>
      <c r="U506" s="379">
        <f t="shared" si="558"/>
        <v>0</v>
      </c>
      <c r="V506" s="379">
        <f t="shared" si="558"/>
        <v>0</v>
      </c>
      <c r="W506" s="379">
        <f t="shared" si="558"/>
        <v>0</v>
      </c>
      <c r="X506" s="379">
        <f t="shared" si="558"/>
        <v>0</v>
      </c>
      <c r="Y506" s="379">
        <f t="shared" si="558"/>
        <v>0</v>
      </c>
      <c r="Z506" s="379">
        <f t="shared" si="558"/>
        <v>0</v>
      </c>
      <c r="AA506" s="379">
        <f t="shared" si="558"/>
        <v>0</v>
      </c>
      <c r="AB506" s="379">
        <f t="shared" si="558"/>
        <v>0</v>
      </c>
      <c r="AC506" s="379">
        <f t="shared" si="558"/>
        <v>0</v>
      </c>
      <c r="AD506" s="379">
        <f t="shared" si="558"/>
        <v>0</v>
      </c>
      <c r="AE506" s="379">
        <f t="shared" si="558"/>
        <v>0</v>
      </c>
      <c r="AF506" s="379">
        <f t="shared" si="558"/>
        <v>0</v>
      </c>
      <c r="AG506" s="379">
        <f t="shared" si="558"/>
        <v>0</v>
      </c>
      <c r="AH506" s="379">
        <f t="shared" si="558"/>
        <v>0</v>
      </c>
      <c r="AI506" s="379">
        <f t="shared" si="558"/>
        <v>0</v>
      </c>
      <c r="AJ506" s="379">
        <f t="shared" si="558"/>
        <v>0</v>
      </c>
      <c r="AK506" s="379">
        <f t="shared" si="558"/>
        <v>0</v>
      </c>
      <c r="AL506" s="379">
        <f t="shared" si="558"/>
        <v>0</v>
      </c>
      <c r="AM506" s="379">
        <f t="shared" si="558"/>
        <v>0</v>
      </c>
      <c r="AN506" s="490">
        <f t="shared" si="558"/>
        <v>0</v>
      </c>
      <c r="AO506" s="379">
        <f t="shared" si="558"/>
        <v>0</v>
      </c>
      <c r="AP506" s="379">
        <f t="shared" si="558"/>
        <v>0</v>
      </c>
      <c r="AQ506" s="379">
        <f t="shared" si="558"/>
        <v>0</v>
      </c>
      <c r="AR506" s="379">
        <f t="shared" si="558"/>
        <v>0</v>
      </c>
      <c r="AS506" s="379">
        <f t="shared" si="558"/>
        <v>0</v>
      </c>
      <c r="AT506" s="379">
        <f t="shared" si="558"/>
        <v>0</v>
      </c>
      <c r="AU506" s="379">
        <f t="shared" si="558"/>
        <v>0</v>
      </c>
      <c r="AV506" s="379">
        <f t="shared" si="558"/>
        <v>0</v>
      </c>
      <c r="AW506" s="379">
        <f t="shared" si="558"/>
        <v>0</v>
      </c>
      <c r="AX506" s="379">
        <f t="shared" si="558"/>
        <v>0</v>
      </c>
      <c r="AY506" s="379">
        <f t="shared" si="558"/>
        <v>0</v>
      </c>
    </row>
    <row r="507" spans="1:51" x14ac:dyDescent="0.2">
      <c r="A507" s="376"/>
      <c r="B507" s="376"/>
      <c r="C507" s="376" t="s">
        <v>267</v>
      </c>
      <c r="D507" s="376"/>
      <c r="E507" s="488"/>
      <c r="F507" s="384"/>
      <c r="G507" s="379">
        <f t="shared" ref="G507:AY507" si="559">MAX(G497:G503)</f>
        <v>94011</v>
      </c>
      <c r="H507" s="379">
        <f t="shared" si="559"/>
        <v>36870</v>
      </c>
      <c r="I507" s="379">
        <f t="shared" si="559"/>
        <v>450</v>
      </c>
      <c r="J507" s="379">
        <f t="shared" si="559"/>
        <v>0</v>
      </c>
      <c r="K507" s="379">
        <f t="shared" si="559"/>
        <v>34468</v>
      </c>
      <c r="L507" s="379">
        <f t="shared" si="559"/>
        <v>0</v>
      </c>
      <c r="M507" s="379">
        <f t="shared" si="559"/>
        <v>36242</v>
      </c>
      <c r="N507" s="379">
        <f t="shared" si="559"/>
        <v>17996</v>
      </c>
      <c r="O507" s="379">
        <f t="shared" si="559"/>
        <v>17912</v>
      </c>
      <c r="P507" s="379">
        <f t="shared" si="559"/>
        <v>0</v>
      </c>
      <c r="Q507" s="379">
        <f t="shared" si="559"/>
        <v>0</v>
      </c>
      <c r="R507" s="379">
        <f t="shared" si="559"/>
        <v>0</v>
      </c>
      <c r="S507" s="379">
        <f t="shared" si="559"/>
        <v>0</v>
      </c>
      <c r="T507" s="379">
        <f t="shared" si="559"/>
        <v>0</v>
      </c>
      <c r="U507" s="379">
        <f t="shared" si="559"/>
        <v>0</v>
      </c>
      <c r="V507" s="379">
        <f t="shared" si="559"/>
        <v>0</v>
      </c>
      <c r="W507" s="379">
        <f t="shared" si="559"/>
        <v>0</v>
      </c>
      <c r="X507" s="379">
        <f t="shared" si="559"/>
        <v>0</v>
      </c>
      <c r="Y507" s="379">
        <f t="shared" si="559"/>
        <v>0</v>
      </c>
      <c r="Z507" s="379">
        <f t="shared" si="559"/>
        <v>0</v>
      </c>
      <c r="AA507" s="379">
        <f t="shared" si="559"/>
        <v>0</v>
      </c>
      <c r="AB507" s="379">
        <f t="shared" si="559"/>
        <v>0</v>
      </c>
      <c r="AC507" s="379">
        <f t="shared" si="559"/>
        <v>0</v>
      </c>
      <c r="AD507" s="379">
        <f t="shared" si="559"/>
        <v>0</v>
      </c>
      <c r="AE507" s="379">
        <f t="shared" si="559"/>
        <v>0</v>
      </c>
      <c r="AF507" s="379">
        <f t="shared" si="559"/>
        <v>0</v>
      </c>
      <c r="AG507" s="379">
        <f t="shared" si="559"/>
        <v>0</v>
      </c>
      <c r="AH507" s="379">
        <f t="shared" si="559"/>
        <v>0</v>
      </c>
      <c r="AI507" s="379">
        <f t="shared" si="559"/>
        <v>0</v>
      </c>
      <c r="AJ507" s="379">
        <f t="shared" si="559"/>
        <v>0</v>
      </c>
      <c r="AK507" s="379">
        <f t="shared" si="559"/>
        <v>0</v>
      </c>
      <c r="AL507" s="379">
        <f t="shared" si="559"/>
        <v>0</v>
      </c>
      <c r="AM507" s="379">
        <f t="shared" si="559"/>
        <v>0</v>
      </c>
      <c r="AN507" s="490">
        <f t="shared" si="559"/>
        <v>0</v>
      </c>
      <c r="AO507" s="379">
        <f t="shared" si="559"/>
        <v>0</v>
      </c>
      <c r="AP507" s="379">
        <f t="shared" si="559"/>
        <v>0</v>
      </c>
      <c r="AQ507" s="379">
        <f t="shared" si="559"/>
        <v>0</v>
      </c>
      <c r="AR507" s="379">
        <f t="shared" si="559"/>
        <v>0</v>
      </c>
      <c r="AS507" s="379">
        <f t="shared" si="559"/>
        <v>0</v>
      </c>
      <c r="AT507" s="379">
        <f t="shared" si="559"/>
        <v>0</v>
      </c>
      <c r="AU507" s="379">
        <f t="shared" si="559"/>
        <v>0</v>
      </c>
      <c r="AV507" s="379">
        <f t="shared" si="559"/>
        <v>0</v>
      </c>
      <c r="AW507" s="379">
        <f t="shared" si="559"/>
        <v>0</v>
      </c>
      <c r="AX507" s="379">
        <f t="shared" si="559"/>
        <v>0</v>
      </c>
      <c r="AY507" s="379">
        <f t="shared" si="559"/>
        <v>0</v>
      </c>
    </row>
    <row r="508" spans="1:51" x14ac:dyDescent="0.2">
      <c r="A508" s="376"/>
      <c r="B508" s="376"/>
      <c r="C508" s="376" t="s">
        <v>268</v>
      </c>
      <c r="D508" s="376"/>
      <c r="E508" s="488"/>
      <c r="F508" s="384"/>
      <c r="G508" s="379">
        <f t="shared" ref="G508:AY508" si="560">AVERAGE(G497:G503)</f>
        <v>42716.714285714283</v>
      </c>
      <c r="H508" s="379">
        <f t="shared" si="560"/>
        <v>17673.714285714286</v>
      </c>
      <c r="I508" s="379">
        <f t="shared" si="560"/>
        <v>364.18571428571431</v>
      </c>
      <c r="J508" s="379" t="e">
        <f t="shared" si="560"/>
        <v>#DIV/0!</v>
      </c>
      <c r="K508" s="379">
        <f t="shared" si="560"/>
        <v>16021.571428571429</v>
      </c>
      <c r="L508" s="379">
        <f t="shared" si="560"/>
        <v>0</v>
      </c>
      <c r="M508" s="379">
        <f t="shared" si="560"/>
        <v>16283.285714285714</v>
      </c>
      <c r="N508" s="379">
        <f t="shared" si="560"/>
        <v>2570.8571428571427</v>
      </c>
      <c r="O508" s="379">
        <f t="shared" si="560"/>
        <v>9029.7142857142862</v>
      </c>
      <c r="P508" s="379">
        <f t="shared" si="560"/>
        <v>0</v>
      </c>
      <c r="Q508" s="379" t="e">
        <f t="shared" si="560"/>
        <v>#DIV/0!</v>
      </c>
      <c r="R508" s="379" t="e">
        <f t="shared" si="560"/>
        <v>#DIV/0!</v>
      </c>
      <c r="S508" s="379">
        <f t="shared" si="560"/>
        <v>0</v>
      </c>
      <c r="T508" s="379">
        <f t="shared" si="560"/>
        <v>0</v>
      </c>
      <c r="U508" s="379">
        <f t="shared" si="560"/>
        <v>0</v>
      </c>
      <c r="V508" s="379">
        <f t="shared" si="560"/>
        <v>0</v>
      </c>
      <c r="W508" s="379">
        <f t="shared" si="560"/>
        <v>0</v>
      </c>
      <c r="X508" s="379">
        <f t="shared" si="560"/>
        <v>0</v>
      </c>
      <c r="Y508" s="379">
        <f t="shared" si="560"/>
        <v>0</v>
      </c>
      <c r="Z508" s="379">
        <f t="shared" si="560"/>
        <v>0</v>
      </c>
      <c r="AA508" s="379">
        <f t="shared" si="560"/>
        <v>0</v>
      </c>
      <c r="AB508" s="379">
        <f t="shared" si="560"/>
        <v>0</v>
      </c>
      <c r="AC508" s="379">
        <f t="shared" si="560"/>
        <v>0</v>
      </c>
      <c r="AD508" s="379">
        <f t="shared" si="560"/>
        <v>0</v>
      </c>
      <c r="AE508" s="379">
        <f t="shared" si="560"/>
        <v>0</v>
      </c>
      <c r="AF508" s="379">
        <f t="shared" si="560"/>
        <v>0</v>
      </c>
      <c r="AG508" s="379">
        <f t="shared" si="560"/>
        <v>0</v>
      </c>
      <c r="AH508" s="379">
        <f t="shared" si="560"/>
        <v>0</v>
      </c>
      <c r="AI508" s="379">
        <f t="shared" si="560"/>
        <v>0</v>
      </c>
      <c r="AJ508" s="379">
        <f t="shared" si="560"/>
        <v>0</v>
      </c>
      <c r="AK508" s="379">
        <f t="shared" si="560"/>
        <v>0</v>
      </c>
      <c r="AL508" s="379">
        <f t="shared" si="560"/>
        <v>0</v>
      </c>
      <c r="AM508" s="379">
        <f t="shared" si="560"/>
        <v>0</v>
      </c>
      <c r="AN508" s="490">
        <f t="shared" si="560"/>
        <v>0</v>
      </c>
      <c r="AO508" s="379">
        <f t="shared" si="560"/>
        <v>0</v>
      </c>
      <c r="AP508" s="379">
        <f t="shared" si="560"/>
        <v>0</v>
      </c>
      <c r="AQ508" s="379">
        <f t="shared" si="560"/>
        <v>0</v>
      </c>
      <c r="AR508" s="379">
        <f t="shared" si="560"/>
        <v>0</v>
      </c>
      <c r="AS508" s="379">
        <f t="shared" si="560"/>
        <v>0</v>
      </c>
      <c r="AT508" s="379">
        <f t="shared" si="560"/>
        <v>0</v>
      </c>
      <c r="AU508" s="379">
        <f t="shared" si="560"/>
        <v>0</v>
      </c>
      <c r="AV508" s="379">
        <f t="shared" si="560"/>
        <v>0</v>
      </c>
      <c r="AW508" s="379">
        <f t="shared" si="560"/>
        <v>0</v>
      </c>
      <c r="AX508" s="379">
        <f t="shared" si="560"/>
        <v>0</v>
      </c>
      <c r="AY508" s="379">
        <f t="shared" si="560"/>
        <v>0</v>
      </c>
    </row>
    <row r="509" spans="1:51" ht="13.5" thickBot="1" x14ac:dyDescent="0.25">
      <c r="A509" s="386"/>
      <c r="B509" s="386"/>
      <c r="C509" s="386" t="s">
        <v>269</v>
      </c>
      <c r="D509" s="386"/>
      <c r="E509" s="491"/>
      <c r="F509" s="384"/>
      <c r="G509" s="388">
        <f t="shared" ref="G509:AY509" si="561">MEDIAN(G497:G503)</f>
        <v>42556</v>
      </c>
      <c r="H509" s="388">
        <f t="shared" si="561"/>
        <v>16194</v>
      </c>
      <c r="I509" s="388">
        <f t="shared" si="561"/>
        <v>374</v>
      </c>
      <c r="J509" s="388" t="e">
        <f t="shared" si="561"/>
        <v>#NUM!</v>
      </c>
      <c r="K509" s="388">
        <f t="shared" si="561"/>
        <v>14777</v>
      </c>
      <c r="L509" s="388">
        <f t="shared" si="561"/>
        <v>0</v>
      </c>
      <c r="M509" s="388">
        <f t="shared" si="561"/>
        <v>14777</v>
      </c>
      <c r="N509" s="388">
        <f t="shared" si="561"/>
        <v>0</v>
      </c>
      <c r="O509" s="388">
        <f t="shared" si="561"/>
        <v>10536</v>
      </c>
      <c r="P509" s="388">
        <f t="shared" si="561"/>
        <v>0</v>
      </c>
      <c r="Q509" s="388" t="e">
        <f t="shared" si="561"/>
        <v>#NUM!</v>
      </c>
      <c r="R509" s="388" t="e">
        <f t="shared" si="561"/>
        <v>#NUM!</v>
      </c>
      <c r="S509" s="388">
        <f t="shared" si="561"/>
        <v>0</v>
      </c>
      <c r="T509" s="388">
        <f t="shared" si="561"/>
        <v>0</v>
      </c>
      <c r="U509" s="388">
        <f t="shared" si="561"/>
        <v>0</v>
      </c>
      <c r="V509" s="388">
        <f t="shared" si="561"/>
        <v>0</v>
      </c>
      <c r="W509" s="388">
        <f t="shared" si="561"/>
        <v>0</v>
      </c>
      <c r="X509" s="388">
        <f t="shared" si="561"/>
        <v>0</v>
      </c>
      <c r="Y509" s="388">
        <f t="shared" si="561"/>
        <v>0</v>
      </c>
      <c r="Z509" s="388">
        <f t="shared" si="561"/>
        <v>0</v>
      </c>
      <c r="AA509" s="388">
        <f t="shared" si="561"/>
        <v>0</v>
      </c>
      <c r="AB509" s="388">
        <f t="shared" si="561"/>
        <v>0</v>
      </c>
      <c r="AC509" s="388">
        <f t="shared" si="561"/>
        <v>0</v>
      </c>
      <c r="AD509" s="388">
        <f t="shared" si="561"/>
        <v>0</v>
      </c>
      <c r="AE509" s="388">
        <f t="shared" si="561"/>
        <v>0</v>
      </c>
      <c r="AF509" s="388">
        <f t="shared" si="561"/>
        <v>0</v>
      </c>
      <c r="AG509" s="388">
        <f t="shared" si="561"/>
        <v>0</v>
      </c>
      <c r="AH509" s="388">
        <f t="shared" si="561"/>
        <v>0</v>
      </c>
      <c r="AI509" s="388">
        <f t="shared" si="561"/>
        <v>0</v>
      </c>
      <c r="AJ509" s="388">
        <f t="shared" si="561"/>
        <v>0</v>
      </c>
      <c r="AK509" s="388">
        <f t="shared" si="561"/>
        <v>0</v>
      </c>
      <c r="AL509" s="388">
        <f t="shared" si="561"/>
        <v>0</v>
      </c>
      <c r="AM509" s="388">
        <f t="shared" si="561"/>
        <v>0</v>
      </c>
      <c r="AN509" s="492">
        <f t="shared" si="561"/>
        <v>0</v>
      </c>
      <c r="AO509" s="388">
        <f t="shared" si="561"/>
        <v>0</v>
      </c>
      <c r="AP509" s="388">
        <f t="shared" si="561"/>
        <v>0</v>
      </c>
      <c r="AQ509" s="388">
        <f t="shared" si="561"/>
        <v>0</v>
      </c>
      <c r="AR509" s="388">
        <f t="shared" si="561"/>
        <v>0</v>
      </c>
      <c r="AS509" s="388">
        <f t="shared" si="561"/>
        <v>0</v>
      </c>
      <c r="AT509" s="388">
        <f t="shared" si="561"/>
        <v>0</v>
      </c>
      <c r="AU509" s="388">
        <f t="shared" si="561"/>
        <v>0</v>
      </c>
      <c r="AV509" s="388">
        <f t="shared" si="561"/>
        <v>0</v>
      </c>
      <c r="AW509" s="388">
        <f t="shared" si="561"/>
        <v>0</v>
      </c>
      <c r="AX509" s="388">
        <f t="shared" si="561"/>
        <v>0</v>
      </c>
      <c r="AY509" s="388">
        <f t="shared" si="561"/>
        <v>0</v>
      </c>
    </row>
    <row r="510" spans="1:51" ht="13.5" thickTop="1" x14ac:dyDescent="0.2"/>
    <row r="511" spans="1:51" ht="13.5" thickBot="1" x14ac:dyDescent="0.25">
      <c r="A511" s="400"/>
      <c r="B511" s="400"/>
      <c r="C511" s="402" t="s">
        <v>125</v>
      </c>
      <c r="D511" s="402"/>
      <c r="E511" s="503"/>
    </row>
    <row r="512" spans="1:51" ht="13.5" thickTop="1" x14ac:dyDescent="0.2">
      <c r="A512" s="376">
        <v>10130</v>
      </c>
      <c r="B512" s="378" t="str">
        <f t="shared" ref="B512:B523" si="562">VLOOKUP($A512,$A$5:$L$133,2,FALSE)</f>
        <v>Armidale Regional (A)</v>
      </c>
      <c r="C512" s="377" t="str">
        <f t="shared" ref="C512:C523" si="563">VLOOKUP($A512,$A$5:$L$133,3,FALSE)</f>
        <v>NIRW</v>
      </c>
      <c r="D512" s="503" t="str">
        <f t="shared" ref="D512:D523" si="564">VLOOKUP($A512,$A$5:$L$133,4,FALSE)</f>
        <v>N</v>
      </c>
      <c r="E512" s="503"/>
      <c r="F512"/>
      <c r="G512" s="379">
        <f t="shared" ref="G512:G523" si="565">VLOOKUP($A512,$A$5:$AY$132,7,FALSE)</f>
        <v>30045</v>
      </c>
      <c r="H512" s="379">
        <f t="shared" ref="H512:H523" si="566">VLOOKUP($A512,$A$5:$AY$132,8,FALSE)</f>
        <v>12098</v>
      </c>
      <c r="I512" s="379">
        <f t="shared" ref="I512:I523" si="567">VLOOKUP($A512,$A$5:$AY$132,9,FALSE)</f>
        <v>321</v>
      </c>
      <c r="J512" s="379" t="str">
        <f t="shared" ref="J512:J523" si="568">VLOOKUP($A512,$A$5:$AY$132,10,FALSE)</f>
        <v>Y</v>
      </c>
      <c r="K512" s="379">
        <f t="shared" ref="K512:K523" si="569">VLOOKUP($A512,$A$5:$AY$132,11,FALSE)</f>
        <v>9781</v>
      </c>
      <c r="L512" s="379" t="str">
        <f t="shared" ref="L512:L523" si="570">VLOOKUP($A512,$A$5:$AY$132,12,FALSE)</f>
        <v>Y</v>
      </c>
      <c r="M512" s="379">
        <f t="shared" ref="M512:M523" si="571">VLOOKUP($A512,$A$4:$AY$132,13,FALSE)</f>
        <v>9256</v>
      </c>
      <c r="N512" s="379">
        <f t="shared" ref="N512:N523" si="572">VLOOKUP($A512,$A$4:$AY$132,14,FALSE)</f>
        <v>0</v>
      </c>
      <c r="O512" s="379">
        <f t="shared" ref="O512:O523" si="573">VLOOKUP($A512,$A$4:$AY$132,15,FALSE)</f>
        <v>8567</v>
      </c>
      <c r="P512" s="379">
        <f t="shared" ref="P512:P523" si="574">VLOOKUP($A512,$A$4:$AY$132,16,FALSE)</f>
        <v>0</v>
      </c>
      <c r="Q512" s="379" t="str">
        <f t="shared" ref="Q512:Q523" si="575">VLOOKUP($A512,$A$4:$AY$132,17,FALSE)</f>
        <v>Y</v>
      </c>
      <c r="R512" s="379" t="str">
        <f t="shared" ref="R512:R523" si="576">VLOOKUP($A512,$A$4:$AY$132,18,FALSE)</f>
        <v>Guyra Waste Transfer Facility</v>
      </c>
      <c r="S512" s="379" t="str">
        <f t="shared" ref="S512:S523" si="577">VLOOKUP($A512,$A$4:$AY$132,19,FALSE)</f>
        <v>Tilbuster Waste Transfer Station</v>
      </c>
      <c r="T512" s="379" t="str">
        <f t="shared" ref="T512:T523" si="578">VLOOKUP($A512,$A$4:$AY$132,20,FALSE)</f>
        <v>Ebor Waste Transfer Station</v>
      </c>
      <c r="U512" s="379" t="str">
        <f t="shared" ref="U512:U523" si="579">VLOOKUP($A512,$A$4:$AY$132,21,FALSE)</f>
        <v>Woollomombi Waste Transfer Station</v>
      </c>
      <c r="V512" s="379" t="str">
        <f t="shared" ref="V512:V523" si="580">VLOOKUP($A512,$A$4:$AY$132,22,FALSE)</f>
        <v>Hillgrove Waste Transfer Station</v>
      </c>
      <c r="W512" s="379">
        <f t="shared" ref="W512:W523" si="581">VLOOKUP($A512,$A$4:$AY$132,23,FALSE)</f>
        <v>0</v>
      </c>
      <c r="X512" s="379">
        <f t="shared" ref="X512:X523" si="582">VLOOKUP($A512,$A$4:$AY$132,24,FALSE)</f>
        <v>0</v>
      </c>
      <c r="Y512" s="379">
        <f t="shared" ref="Y512:Y523" si="583">VLOOKUP($A512,$A$4:$AY$132,25,FALSE)</f>
        <v>0</v>
      </c>
      <c r="Z512" s="379">
        <f t="shared" ref="Z512:Z523" si="584">VLOOKUP($A512,$A$4:$AY$132,26,FALSE)</f>
        <v>0</v>
      </c>
      <c r="AA512" s="379">
        <f t="shared" ref="AA512:AA523" si="585">VLOOKUP($A512,$A$4:$AY$132,27,FALSE)</f>
        <v>0</v>
      </c>
      <c r="AB512" s="379">
        <f t="shared" ref="AB512:AB523" si="586">VLOOKUP($A512,$A$4:$AY$132,28,FALSE)</f>
        <v>0</v>
      </c>
      <c r="AC512" s="379">
        <f t="shared" ref="AC512:AC523" si="587">VLOOKUP($A512,$A$4:$AY$132,29,FALSE)</f>
        <v>0</v>
      </c>
      <c r="AD512" s="379">
        <f t="shared" ref="AD512:AD523" si="588">VLOOKUP($A512,$A$4:$AY$132,30,FALSE)</f>
        <v>0</v>
      </c>
      <c r="AE512" s="379">
        <f t="shared" ref="AE512:AE523" si="589">VLOOKUP($A512,$A$4:$AY$132,31,FALSE)</f>
        <v>0</v>
      </c>
      <c r="AF512" s="379">
        <f t="shared" ref="AF512:AF523" si="590">VLOOKUP($A512,$A$4:$AY$132,32,FALSE)</f>
        <v>0</v>
      </c>
      <c r="AG512" s="379">
        <f t="shared" ref="AG512:AG523" si="591">VLOOKUP($A512,$A$4:$AY$132,33,FALSE)</f>
        <v>0</v>
      </c>
      <c r="AH512" s="379">
        <f t="shared" ref="AH512:AH523" si="592">VLOOKUP($A512,$A$4:$AY$132,34,FALSE)</f>
        <v>0</v>
      </c>
      <c r="AI512" s="379">
        <f t="shared" ref="AI512:AI523" si="593">VLOOKUP($A512,$A$4:$AY$132,35,FALSE)</f>
        <v>0</v>
      </c>
      <c r="AJ512" s="379">
        <f t="shared" ref="AJ512:AJ523" si="594">VLOOKUP($A512,$A$4:$AY$132,36,FALSE)</f>
        <v>0</v>
      </c>
      <c r="AK512" s="379">
        <f t="shared" ref="AK512:AK523" si="595">VLOOKUP($A512,$A$4:$AY$132,37,FALSE)</f>
        <v>0</v>
      </c>
      <c r="AL512" s="379">
        <f t="shared" ref="AL512:AL523" si="596">VLOOKUP($A512,$A$4:$AY$132,38,FALSE)</f>
        <v>0</v>
      </c>
      <c r="AM512" s="379">
        <f t="shared" ref="AM512:AM523" si="597">VLOOKUP($A512,$A$4:$AY$132,39,FALSE)</f>
        <v>0</v>
      </c>
      <c r="AN512" s="490">
        <f t="shared" ref="AN512:AN523" si="598">VLOOKUP($A512,$A$4:$AY$132,40,FALSE)</f>
        <v>0</v>
      </c>
      <c r="AO512" s="379">
        <f t="shared" ref="AO512:AO523" si="599">VLOOKUP($A512,$A$4:$AY$132,41,FALSE)</f>
        <v>0</v>
      </c>
      <c r="AP512" s="379">
        <f t="shared" ref="AP512:AP523" si="600">VLOOKUP($A512,$A$4:$AY$132,42,FALSE)</f>
        <v>0</v>
      </c>
      <c r="AQ512" s="379">
        <f t="shared" ref="AQ512:AQ523" si="601">VLOOKUP($A512,$A$4:$AY$132,43,FALSE)</f>
        <v>0</v>
      </c>
      <c r="AR512" s="379">
        <f t="shared" ref="AR512:AR523" si="602">VLOOKUP($A512,$A$4:$AY$132,44,FALSE)</f>
        <v>0</v>
      </c>
      <c r="AS512" s="379">
        <f t="shared" ref="AS512:AS523" si="603">VLOOKUP($A512,$A$4:$AY$132,45,FALSE)</f>
        <v>0</v>
      </c>
      <c r="AT512" s="379">
        <f t="shared" ref="AT512:AT523" si="604">VLOOKUP($A512,$A$4:$AY$132,46,FALSE)</f>
        <v>0</v>
      </c>
      <c r="AU512" s="379">
        <f t="shared" ref="AU512:AU523" si="605">VLOOKUP($A512,$A$4:$AY$132,47,FALSE)</f>
        <v>0</v>
      </c>
      <c r="AV512" s="379">
        <f t="shared" ref="AV512:AV523" si="606">VLOOKUP($A512,$A$4:$AY$132,48,FALSE)</f>
        <v>0</v>
      </c>
      <c r="AW512" s="379">
        <f t="shared" ref="AW512:AW523" si="607">VLOOKUP($A512,$A$4:$AY$132,49,FALSE)</f>
        <v>0</v>
      </c>
      <c r="AX512" s="379">
        <f t="shared" ref="AX512:AX523" si="608">VLOOKUP($A512,$A$4:$AY$132,50,FALSE)</f>
        <v>0</v>
      </c>
      <c r="AY512" s="379">
        <f t="shared" ref="AY512:AY523" si="609">VLOOKUP($A512,$A$4:$AY$132,51,FALSE)</f>
        <v>0</v>
      </c>
    </row>
    <row r="513" spans="1:51" x14ac:dyDescent="0.2">
      <c r="A513" s="376">
        <v>13010</v>
      </c>
      <c r="B513" s="378" t="str">
        <f t="shared" si="562"/>
        <v>Glen Innes Severn (A)</v>
      </c>
      <c r="C513" s="377" t="str">
        <f t="shared" si="563"/>
        <v>NIRW</v>
      </c>
      <c r="D513" s="503" t="str">
        <f t="shared" si="564"/>
        <v>N</v>
      </c>
      <c r="E513" s="503"/>
      <c r="F513"/>
      <c r="G513" s="379">
        <f t="shared" si="565"/>
        <v>9001</v>
      </c>
      <c r="H513" s="379">
        <f t="shared" si="566"/>
        <v>4280</v>
      </c>
      <c r="I513" s="379">
        <f t="shared" si="567"/>
        <v>300</v>
      </c>
      <c r="J513" s="379" t="str">
        <f t="shared" si="568"/>
        <v>Y</v>
      </c>
      <c r="K513" s="379">
        <f t="shared" si="569"/>
        <v>3792</v>
      </c>
      <c r="L513" s="379">
        <f t="shared" si="570"/>
        <v>0</v>
      </c>
      <c r="M513" s="379">
        <f t="shared" si="571"/>
        <v>3792</v>
      </c>
      <c r="N513" s="379">
        <f t="shared" si="572"/>
        <v>0</v>
      </c>
      <c r="O513" s="379">
        <f t="shared" si="573"/>
        <v>0</v>
      </c>
      <c r="P513" s="379">
        <f t="shared" si="574"/>
        <v>0</v>
      </c>
      <c r="Q513" s="379" t="str">
        <f t="shared" si="575"/>
        <v>Y</v>
      </c>
      <c r="R513" s="379" t="str">
        <f t="shared" si="576"/>
        <v>Glen Innes and District Community Recycling Centre</v>
      </c>
      <c r="S513" s="379" t="str">
        <f t="shared" si="577"/>
        <v>Emmavliie Landfill</v>
      </c>
      <c r="T513" s="379" t="str">
        <f t="shared" si="578"/>
        <v>Deepwater Landfill</v>
      </c>
      <c r="U513" s="379" t="str">
        <f t="shared" si="579"/>
        <v>Red Range Landfill</v>
      </c>
      <c r="V513" s="379">
        <f t="shared" si="580"/>
        <v>0</v>
      </c>
      <c r="W513" s="379">
        <f t="shared" si="581"/>
        <v>0</v>
      </c>
      <c r="X513" s="379">
        <f t="shared" si="582"/>
        <v>0</v>
      </c>
      <c r="Y513" s="379">
        <f t="shared" si="583"/>
        <v>0</v>
      </c>
      <c r="Z513" s="379">
        <f t="shared" si="584"/>
        <v>0</v>
      </c>
      <c r="AA513" s="379">
        <f t="shared" si="585"/>
        <v>0</v>
      </c>
      <c r="AB513" s="379">
        <f t="shared" si="586"/>
        <v>0</v>
      </c>
      <c r="AC513" s="379">
        <f t="shared" si="587"/>
        <v>0</v>
      </c>
      <c r="AD513" s="379">
        <f t="shared" si="588"/>
        <v>0</v>
      </c>
      <c r="AE513" s="379">
        <f t="shared" si="589"/>
        <v>0</v>
      </c>
      <c r="AF513" s="379">
        <f t="shared" si="590"/>
        <v>0</v>
      </c>
      <c r="AG513" s="379">
        <f t="shared" si="591"/>
        <v>0</v>
      </c>
      <c r="AH513" s="379">
        <f t="shared" si="592"/>
        <v>0</v>
      </c>
      <c r="AI513" s="379">
        <f t="shared" si="593"/>
        <v>0</v>
      </c>
      <c r="AJ513" s="379">
        <f t="shared" si="594"/>
        <v>0</v>
      </c>
      <c r="AK513" s="379">
        <f t="shared" si="595"/>
        <v>0</v>
      </c>
      <c r="AL513" s="379">
        <f t="shared" si="596"/>
        <v>0</v>
      </c>
      <c r="AM513" s="379">
        <f t="shared" si="597"/>
        <v>0</v>
      </c>
      <c r="AN513" s="490">
        <f t="shared" si="598"/>
        <v>0</v>
      </c>
      <c r="AO513" s="379">
        <f t="shared" si="599"/>
        <v>0</v>
      </c>
      <c r="AP513" s="379">
        <f t="shared" si="600"/>
        <v>0</v>
      </c>
      <c r="AQ513" s="379">
        <f t="shared" si="601"/>
        <v>0</v>
      </c>
      <c r="AR513" s="379">
        <f t="shared" si="602"/>
        <v>0</v>
      </c>
      <c r="AS513" s="379">
        <f t="shared" si="603"/>
        <v>0</v>
      </c>
      <c r="AT513" s="379">
        <f t="shared" si="604"/>
        <v>0</v>
      </c>
      <c r="AU513" s="379">
        <f t="shared" si="605"/>
        <v>0</v>
      </c>
      <c r="AV513" s="379">
        <f t="shared" si="606"/>
        <v>0</v>
      </c>
      <c r="AW513" s="379">
        <f t="shared" si="607"/>
        <v>0</v>
      </c>
      <c r="AX513" s="379">
        <f t="shared" si="608"/>
        <v>0</v>
      </c>
      <c r="AY513" s="379">
        <f t="shared" si="609"/>
        <v>0</v>
      </c>
    </row>
    <row r="514" spans="1:51" x14ac:dyDescent="0.2">
      <c r="A514" s="376">
        <v>13550</v>
      </c>
      <c r="B514" s="378" t="str">
        <f t="shared" si="562"/>
        <v>Gunnedah (A)</v>
      </c>
      <c r="C514" s="377" t="str">
        <f t="shared" si="563"/>
        <v>NIRW</v>
      </c>
      <c r="D514" s="503" t="str">
        <f t="shared" si="564"/>
        <v>N</v>
      </c>
      <c r="E514" s="503"/>
      <c r="F514"/>
      <c r="G514" s="379">
        <f t="shared" si="565"/>
        <v>12989</v>
      </c>
      <c r="H514" s="379">
        <f t="shared" si="566"/>
        <v>4277</v>
      </c>
      <c r="I514" s="379">
        <f t="shared" si="567"/>
        <v>344</v>
      </c>
      <c r="J514" s="379" t="str">
        <f t="shared" si="568"/>
        <v>Y</v>
      </c>
      <c r="K514" s="379">
        <f t="shared" si="569"/>
        <v>4277</v>
      </c>
      <c r="L514" s="379">
        <f t="shared" si="570"/>
        <v>0</v>
      </c>
      <c r="M514" s="379">
        <f t="shared" si="571"/>
        <v>4277</v>
      </c>
      <c r="N514" s="379">
        <f t="shared" si="572"/>
        <v>3392</v>
      </c>
      <c r="O514" s="379">
        <f t="shared" si="573"/>
        <v>0</v>
      </c>
      <c r="P514" s="379">
        <f t="shared" si="574"/>
        <v>0</v>
      </c>
      <c r="Q514" s="379" t="str">
        <f t="shared" si="575"/>
        <v>Y</v>
      </c>
      <c r="R514" s="379" t="str">
        <f t="shared" si="576"/>
        <v>Gunnedah Waste Management Facility</v>
      </c>
      <c r="S514" s="379" t="str">
        <f t="shared" si="577"/>
        <v>Curlewis Waste Facility</v>
      </c>
      <c r="T514" s="379" t="str">
        <f t="shared" si="578"/>
        <v>Carroll Waste Facility</v>
      </c>
      <c r="U514" s="379" t="str">
        <f t="shared" si="579"/>
        <v>Mullaley Waste Facility</v>
      </c>
      <c r="V514" s="379" t="str">
        <f t="shared" si="580"/>
        <v>Breeza Waste Facility</v>
      </c>
      <c r="W514" s="379" t="str">
        <f t="shared" si="581"/>
        <v>Tambar Springs Facility</v>
      </c>
      <c r="X514" s="379">
        <f t="shared" si="582"/>
        <v>0</v>
      </c>
      <c r="Y514" s="379">
        <f t="shared" si="583"/>
        <v>0</v>
      </c>
      <c r="Z514" s="379">
        <f t="shared" si="584"/>
        <v>0</v>
      </c>
      <c r="AA514" s="379">
        <f t="shared" si="585"/>
        <v>0</v>
      </c>
      <c r="AB514" s="379">
        <f t="shared" si="586"/>
        <v>0</v>
      </c>
      <c r="AC514" s="379">
        <f t="shared" si="587"/>
        <v>0</v>
      </c>
      <c r="AD514" s="379">
        <f t="shared" si="588"/>
        <v>0</v>
      </c>
      <c r="AE514" s="379">
        <f t="shared" si="589"/>
        <v>0</v>
      </c>
      <c r="AF514" s="379">
        <f t="shared" si="590"/>
        <v>0</v>
      </c>
      <c r="AG514" s="379">
        <f t="shared" si="591"/>
        <v>0</v>
      </c>
      <c r="AH514" s="379">
        <f t="shared" si="592"/>
        <v>0</v>
      </c>
      <c r="AI514" s="379">
        <f t="shared" si="593"/>
        <v>0</v>
      </c>
      <c r="AJ514" s="379">
        <f t="shared" si="594"/>
        <v>0</v>
      </c>
      <c r="AK514" s="379">
        <f t="shared" si="595"/>
        <v>0</v>
      </c>
      <c r="AL514" s="379">
        <f t="shared" si="596"/>
        <v>0</v>
      </c>
      <c r="AM514" s="379">
        <f t="shared" si="597"/>
        <v>0</v>
      </c>
      <c r="AN514" s="490">
        <f t="shared" si="598"/>
        <v>0</v>
      </c>
      <c r="AO514" s="379">
        <f t="shared" si="599"/>
        <v>0</v>
      </c>
      <c r="AP514" s="379">
        <f t="shared" si="600"/>
        <v>0</v>
      </c>
      <c r="AQ514" s="379">
        <f t="shared" si="601"/>
        <v>0</v>
      </c>
      <c r="AR514" s="379">
        <f t="shared" si="602"/>
        <v>0</v>
      </c>
      <c r="AS514" s="379">
        <f t="shared" si="603"/>
        <v>0</v>
      </c>
      <c r="AT514" s="379">
        <f t="shared" si="604"/>
        <v>0</v>
      </c>
      <c r="AU514" s="379">
        <f t="shared" si="605"/>
        <v>0</v>
      </c>
      <c r="AV514" s="379">
        <f t="shared" si="606"/>
        <v>0</v>
      </c>
      <c r="AW514" s="379">
        <f t="shared" si="607"/>
        <v>0</v>
      </c>
      <c r="AX514" s="379">
        <f t="shared" si="608"/>
        <v>0</v>
      </c>
      <c r="AY514" s="379">
        <f t="shared" si="609"/>
        <v>0</v>
      </c>
    </row>
    <row r="515" spans="1:51" x14ac:dyDescent="0.2">
      <c r="A515" s="376">
        <v>13660</v>
      </c>
      <c r="B515" s="378" t="str">
        <f t="shared" si="562"/>
        <v>Gwydir (A)</v>
      </c>
      <c r="C515" s="377" t="str">
        <f t="shared" si="563"/>
        <v>NIRW</v>
      </c>
      <c r="D515" s="503" t="str">
        <f t="shared" si="564"/>
        <v>N</v>
      </c>
      <c r="E515" s="503"/>
      <c r="F515"/>
      <c r="G515" s="379">
        <f t="shared" si="565"/>
        <v>5030</v>
      </c>
      <c r="H515" s="379">
        <f t="shared" si="566"/>
        <v>1708</v>
      </c>
      <c r="I515" s="379">
        <f t="shared" si="567"/>
        <v>422</v>
      </c>
      <c r="J515" s="379" t="str">
        <f t="shared" si="568"/>
        <v>Y</v>
      </c>
      <c r="K515" s="379">
        <f t="shared" si="569"/>
        <v>1330</v>
      </c>
      <c r="L515" s="379">
        <f t="shared" si="570"/>
        <v>0</v>
      </c>
      <c r="M515" s="379">
        <f t="shared" si="571"/>
        <v>1330</v>
      </c>
      <c r="N515" s="379">
        <f t="shared" si="572"/>
        <v>0</v>
      </c>
      <c r="O515" s="379">
        <f t="shared" si="573"/>
        <v>1330</v>
      </c>
      <c r="P515" s="379">
        <f t="shared" si="574"/>
        <v>0</v>
      </c>
      <c r="Q515" s="379" t="str">
        <f t="shared" si="575"/>
        <v>Y</v>
      </c>
      <c r="R515" s="379" t="str">
        <f t="shared" si="576"/>
        <v>Bingara Landfill</v>
      </c>
      <c r="S515" s="379" t="str">
        <f t="shared" si="577"/>
        <v>Warialda Landfill</v>
      </c>
      <c r="T515" s="379" t="str">
        <f t="shared" si="578"/>
        <v>Coolatai Landfill</v>
      </c>
      <c r="U515" s="379" t="str">
        <f t="shared" si="579"/>
        <v>Croppa Creek Landfill</v>
      </c>
      <c r="V515" s="379" t="str">
        <f t="shared" si="580"/>
        <v>Gravesend Landfill</v>
      </c>
      <c r="W515" s="379" t="str">
        <f t="shared" si="581"/>
        <v>Upper Horton Landfill</v>
      </c>
      <c r="X515" s="379">
        <f t="shared" si="582"/>
        <v>0</v>
      </c>
      <c r="Y515" s="379">
        <f t="shared" si="583"/>
        <v>0</v>
      </c>
      <c r="Z515" s="379">
        <f t="shared" si="584"/>
        <v>0</v>
      </c>
      <c r="AA515" s="379">
        <f t="shared" si="585"/>
        <v>0</v>
      </c>
      <c r="AB515" s="379">
        <f t="shared" si="586"/>
        <v>0</v>
      </c>
      <c r="AC515" s="379">
        <f t="shared" si="587"/>
        <v>0</v>
      </c>
      <c r="AD515" s="379">
        <f t="shared" si="588"/>
        <v>0</v>
      </c>
      <c r="AE515" s="379">
        <f t="shared" si="589"/>
        <v>0</v>
      </c>
      <c r="AF515" s="379">
        <f t="shared" si="590"/>
        <v>0</v>
      </c>
      <c r="AG515" s="379">
        <f t="shared" si="591"/>
        <v>0</v>
      </c>
      <c r="AH515" s="379">
        <f t="shared" si="592"/>
        <v>0</v>
      </c>
      <c r="AI515" s="379">
        <f t="shared" si="593"/>
        <v>0</v>
      </c>
      <c r="AJ515" s="379">
        <f t="shared" si="594"/>
        <v>0</v>
      </c>
      <c r="AK515" s="379">
        <f t="shared" si="595"/>
        <v>0</v>
      </c>
      <c r="AL515" s="379">
        <f t="shared" si="596"/>
        <v>0</v>
      </c>
      <c r="AM515" s="379">
        <f t="shared" si="597"/>
        <v>0</v>
      </c>
      <c r="AN515" s="490">
        <f t="shared" si="598"/>
        <v>0</v>
      </c>
      <c r="AO515" s="379">
        <f t="shared" si="599"/>
        <v>0</v>
      </c>
      <c r="AP515" s="379">
        <f t="shared" si="600"/>
        <v>0</v>
      </c>
      <c r="AQ515" s="379">
        <f t="shared" si="601"/>
        <v>0</v>
      </c>
      <c r="AR515" s="379">
        <f t="shared" si="602"/>
        <v>0</v>
      </c>
      <c r="AS515" s="379">
        <f t="shared" si="603"/>
        <v>0</v>
      </c>
      <c r="AT515" s="379">
        <f t="shared" si="604"/>
        <v>0</v>
      </c>
      <c r="AU515" s="379">
        <f t="shared" si="605"/>
        <v>0</v>
      </c>
      <c r="AV515" s="379">
        <f t="shared" si="606"/>
        <v>0</v>
      </c>
      <c r="AW515" s="379">
        <f t="shared" si="607"/>
        <v>0</v>
      </c>
      <c r="AX515" s="379">
        <f t="shared" si="608"/>
        <v>0</v>
      </c>
      <c r="AY515" s="379">
        <f t="shared" si="609"/>
        <v>0</v>
      </c>
    </row>
    <row r="516" spans="1:51" x14ac:dyDescent="0.2">
      <c r="A516" s="376">
        <v>14200</v>
      </c>
      <c r="B516" s="378" t="str">
        <f t="shared" si="562"/>
        <v>Inverell (A)</v>
      </c>
      <c r="C516" s="377" t="str">
        <f t="shared" si="563"/>
        <v>NIRW</v>
      </c>
      <c r="D516" s="503" t="str">
        <f t="shared" si="564"/>
        <v>N</v>
      </c>
      <c r="E516" s="503"/>
      <c r="F516"/>
      <c r="G516" s="379">
        <f t="shared" si="565"/>
        <v>17042</v>
      </c>
      <c r="H516" s="379">
        <f t="shared" si="566"/>
        <v>6764</v>
      </c>
      <c r="I516" s="379">
        <f t="shared" si="567"/>
        <v>300</v>
      </c>
      <c r="J516" s="379" t="str">
        <f t="shared" si="568"/>
        <v>Y</v>
      </c>
      <c r="K516" s="379">
        <f t="shared" si="569"/>
        <v>6624</v>
      </c>
      <c r="L516" s="379">
        <f t="shared" si="570"/>
        <v>0</v>
      </c>
      <c r="M516" s="379">
        <f t="shared" si="571"/>
        <v>4666</v>
      </c>
      <c r="N516" s="379">
        <f t="shared" si="572"/>
        <v>0</v>
      </c>
      <c r="O516" s="379">
        <f t="shared" si="573"/>
        <v>0</v>
      </c>
      <c r="P516" s="379">
        <f t="shared" si="574"/>
        <v>0</v>
      </c>
      <c r="Q516" s="379" t="str">
        <f t="shared" si="575"/>
        <v>Y</v>
      </c>
      <c r="R516" s="379" t="str">
        <f t="shared" si="576"/>
        <v>Ashford</v>
      </c>
      <c r="S516" s="379" t="str">
        <f t="shared" si="577"/>
        <v>Bonshaw</v>
      </c>
      <c r="T516" s="379" t="str">
        <f t="shared" si="578"/>
        <v>Yetman</v>
      </c>
      <c r="U516" s="379" t="str">
        <f t="shared" si="579"/>
        <v>Delungra</v>
      </c>
      <c r="V516" s="379">
        <f t="shared" si="580"/>
        <v>0</v>
      </c>
      <c r="W516" s="379">
        <f t="shared" si="581"/>
        <v>0</v>
      </c>
      <c r="X516" s="379">
        <f t="shared" si="582"/>
        <v>0</v>
      </c>
      <c r="Y516" s="379">
        <f t="shared" si="583"/>
        <v>0</v>
      </c>
      <c r="Z516" s="379">
        <f t="shared" si="584"/>
        <v>0</v>
      </c>
      <c r="AA516" s="379">
        <f t="shared" si="585"/>
        <v>0</v>
      </c>
      <c r="AB516" s="379">
        <f t="shared" si="586"/>
        <v>0</v>
      </c>
      <c r="AC516" s="379">
        <f t="shared" si="587"/>
        <v>0</v>
      </c>
      <c r="AD516" s="379">
        <f t="shared" si="588"/>
        <v>0</v>
      </c>
      <c r="AE516" s="379">
        <f t="shared" si="589"/>
        <v>0</v>
      </c>
      <c r="AF516" s="379">
        <f t="shared" si="590"/>
        <v>0</v>
      </c>
      <c r="AG516" s="379">
        <f t="shared" si="591"/>
        <v>0</v>
      </c>
      <c r="AH516" s="379">
        <f t="shared" si="592"/>
        <v>0</v>
      </c>
      <c r="AI516" s="379">
        <f t="shared" si="593"/>
        <v>0</v>
      </c>
      <c r="AJ516" s="379">
        <f t="shared" si="594"/>
        <v>0</v>
      </c>
      <c r="AK516" s="379">
        <f t="shared" si="595"/>
        <v>0</v>
      </c>
      <c r="AL516" s="379">
        <f t="shared" si="596"/>
        <v>0</v>
      </c>
      <c r="AM516" s="379">
        <f t="shared" si="597"/>
        <v>0</v>
      </c>
      <c r="AN516" s="490">
        <f t="shared" si="598"/>
        <v>0</v>
      </c>
      <c r="AO516" s="379">
        <f t="shared" si="599"/>
        <v>0</v>
      </c>
      <c r="AP516" s="379">
        <f t="shared" si="600"/>
        <v>0</v>
      </c>
      <c r="AQ516" s="379">
        <f t="shared" si="601"/>
        <v>0</v>
      </c>
      <c r="AR516" s="379">
        <f t="shared" si="602"/>
        <v>0</v>
      </c>
      <c r="AS516" s="379">
        <f t="shared" si="603"/>
        <v>0</v>
      </c>
      <c r="AT516" s="379">
        <f t="shared" si="604"/>
        <v>0</v>
      </c>
      <c r="AU516" s="379">
        <f t="shared" si="605"/>
        <v>0</v>
      </c>
      <c r="AV516" s="379">
        <f t="shared" si="606"/>
        <v>0</v>
      </c>
      <c r="AW516" s="379">
        <f t="shared" si="607"/>
        <v>0</v>
      </c>
      <c r="AX516" s="379">
        <f t="shared" si="608"/>
        <v>0</v>
      </c>
      <c r="AY516" s="379">
        <f t="shared" si="609"/>
        <v>0</v>
      </c>
    </row>
    <row r="517" spans="1:51" x14ac:dyDescent="0.2">
      <c r="A517" s="376">
        <v>14920</v>
      </c>
      <c r="B517" s="378" t="str">
        <f t="shared" si="562"/>
        <v>Liverpool Plains (A)</v>
      </c>
      <c r="C517" s="377" t="str">
        <f t="shared" si="563"/>
        <v>NIRW</v>
      </c>
      <c r="D517" s="503" t="str">
        <f t="shared" si="564"/>
        <v>N</v>
      </c>
      <c r="E517" s="503"/>
      <c r="F517"/>
      <c r="G517" s="379">
        <f t="shared" si="565"/>
        <v>7738</v>
      </c>
      <c r="H517" s="379">
        <f t="shared" si="566"/>
        <v>2900</v>
      </c>
      <c r="I517" s="379">
        <f t="shared" si="567"/>
        <v>355</v>
      </c>
      <c r="J517" s="379" t="str">
        <f t="shared" si="568"/>
        <v>Y</v>
      </c>
      <c r="K517" s="379">
        <f t="shared" si="569"/>
        <v>2820</v>
      </c>
      <c r="L517" s="379">
        <f t="shared" si="570"/>
        <v>0</v>
      </c>
      <c r="M517" s="379">
        <f t="shared" si="571"/>
        <v>2776</v>
      </c>
      <c r="N517" s="379">
        <f t="shared" si="572"/>
        <v>0</v>
      </c>
      <c r="O517" s="379">
        <f t="shared" si="573"/>
        <v>0</v>
      </c>
      <c r="P517" s="379" t="str">
        <f t="shared" si="574"/>
        <v>Y</v>
      </c>
      <c r="Q517" s="379">
        <f t="shared" si="575"/>
        <v>0</v>
      </c>
      <c r="R517" s="379">
        <f t="shared" si="576"/>
        <v>0</v>
      </c>
      <c r="S517" s="379">
        <f t="shared" si="577"/>
        <v>0</v>
      </c>
      <c r="T517" s="379">
        <f t="shared" si="578"/>
        <v>0</v>
      </c>
      <c r="U517" s="379">
        <f t="shared" si="579"/>
        <v>0</v>
      </c>
      <c r="V517" s="379">
        <f t="shared" si="580"/>
        <v>0</v>
      </c>
      <c r="W517" s="379">
        <f t="shared" si="581"/>
        <v>0</v>
      </c>
      <c r="X517" s="379">
        <f t="shared" si="582"/>
        <v>0</v>
      </c>
      <c r="Y517" s="379">
        <f t="shared" si="583"/>
        <v>0</v>
      </c>
      <c r="Z517" s="379">
        <f t="shared" si="584"/>
        <v>0</v>
      </c>
      <c r="AA517" s="379">
        <f t="shared" si="585"/>
        <v>0</v>
      </c>
      <c r="AB517" s="379">
        <f t="shared" si="586"/>
        <v>0</v>
      </c>
      <c r="AC517" s="379">
        <f t="shared" si="587"/>
        <v>0</v>
      </c>
      <c r="AD517" s="379">
        <f t="shared" si="588"/>
        <v>0</v>
      </c>
      <c r="AE517" s="379">
        <f t="shared" si="589"/>
        <v>0</v>
      </c>
      <c r="AF517" s="379">
        <f t="shared" si="590"/>
        <v>0</v>
      </c>
      <c r="AG517" s="379">
        <f t="shared" si="591"/>
        <v>0</v>
      </c>
      <c r="AH517" s="379">
        <f t="shared" si="592"/>
        <v>0</v>
      </c>
      <c r="AI517" s="379">
        <f t="shared" si="593"/>
        <v>0</v>
      </c>
      <c r="AJ517" s="379">
        <f t="shared" si="594"/>
        <v>0</v>
      </c>
      <c r="AK517" s="379">
        <f t="shared" si="595"/>
        <v>0</v>
      </c>
      <c r="AL517" s="379">
        <f t="shared" si="596"/>
        <v>0</v>
      </c>
      <c r="AM517" s="379">
        <f t="shared" si="597"/>
        <v>0</v>
      </c>
      <c r="AN517" s="490">
        <f t="shared" si="598"/>
        <v>0</v>
      </c>
      <c r="AO517" s="379">
        <f t="shared" si="599"/>
        <v>0</v>
      </c>
      <c r="AP517" s="379">
        <f t="shared" si="600"/>
        <v>0</v>
      </c>
      <c r="AQ517" s="379">
        <f t="shared" si="601"/>
        <v>0</v>
      </c>
      <c r="AR517" s="379">
        <f t="shared" si="602"/>
        <v>0</v>
      </c>
      <c r="AS517" s="379">
        <f t="shared" si="603"/>
        <v>0</v>
      </c>
      <c r="AT517" s="379">
        <f t="shared" si="604"/>
        <v>0</v>
      </c>
      <c r="AU517" s="379">
        <f t="shared" si="605"/>
        <v>0</v>
      </c>
      <c r="AV517" s="379">
        <f t="shared" si="606"/>
        <v>0</v>
      </c>
      <c r="AW517" s="379">
        <f t="shared" si="607"/>
        <v>0</v>
      </c>
      <c r="AX517" s="379">
        <f t="shared" si="608"/>
        <v>0</v>
      </c>
      <c r="AY517" s="379">
        <f t="shared" si="609"/>
        <v>0</v>
      </c>
    </row>
    <row r="518" spans="1:51" x14ac:dyDescent="0.2">
      <c r="A518" s="376">
        <v>15300</v>
      </c>
      <c r="B518" s="378" t="str">
        <f t="shared" si="562"/>
        <v>Moree Plains (A)</v>
      </c>
      <c r="C518" s="377" t="str">
        <f t="shared" si="563"/>
        <v>NIRW</v>
      </c>
      <c r="D518" s="503" t="str">
        <f t="shared" si="564"/>
        <v>N</v>
      </c>
      <c r="E518" s="503"/>
      <c r="F518"/>
      <c r="G518" s="379">
        <f t="shared" si="565"/>
        <v>13866</v>
      </c>
      <c r="H518" s="379">
        <f t="shared" si="566"/>
        <v>6529</v>
      </c>
      <c r="I518" s="379">
        <f t="shared" si="567"/>
        <v>438.35</v>
      </c>
      <c r="J518" s="379" t="str">
        <f t="shared" si="568"/>
        <v>Y</v>
      </c>
      <c r="K518" s="379">
        <f t="shared" si="569"/>
        <v>5881</v>
      </c>
      <c r="L518" s="379">
        <f t="shared" si="570"/>
        <v>0</v>
      </c>
      <c r="M518" s="379">
        <f t="shared" si="571"/>
        <v>4664</v>
      </c>
      <c r="N518" s="379">
        <f t="shared" si="572"/>
        <v>0</v>
      </c>
      <c r="O518" s="379">
        <f t="shared" si="573"/>
        <v>4669</v>
      </c>
      <c r="P518" s="379" t="str">
        <f t="shared" si="574"/>
        <v>Y</v>
      </c>
      <c r="Q518" s="379" t="str">
        <f t="shared" si="575"/>
        <v>Y</v>
      </c>
      <c r="R518" s="379" t="str">
        <f t="shared" si="576"/>
        <v>Moree Waste Management Facility</v>
      </c>
      <c r="S518" s="379" t="str">
        <f t="shared" si="577"/>
        <v>Mungindi Transferstation</v>
      </c>
      <c r="T518" s="379" t="str">
        <f t="shared" si="578"/>
        <v>Pallamallawa Landfill</v>
      </c>
      <c r="U518" s="379" t="str">
        <f t="shared" si="579"/>
        <v>Biniguy Landfill</v>
      </c>
      <c r="V518" s="379" t="str">
        <f t="shared" si="580"/>
        <v>Boggabilla Landfill</v>
      </c>
      <c r="W518" s="379" t="str">
        <f t="shared" si="581"/>
        <v>Other landfills</v>
      </c>
      <c r="X518" s="379">
        <f t="shared" si="582"/>
        <v>0</v>
      </c>
      <c r="Y518" s="379">
        <f t="shared" si="583"/>
        <v>0</v>
      </c>
      <c r="Z518" s="379">
        <f t="shared" si="584"/>
        <v>0</v>
      </c>
      <c r="AA518" s="379">
        <f t="shared" si="585"/>
        <v>0</v>
      </c>
      <c r="AB518" s="379">
        <f t="shared" si="586"/>
        <v>0</v>
      </c>
      <c r="AC518" s="379">
        <f t="shared" si="587"/>
        <v>0</v>
      </c>
      <c r="AD518" s="379">
        <f t="shared" si="588"/>
        <v>0</v>
      </c>
      <c r="AE518" s="379">
        <f t="shared" si="589"/>
        <v>0</v>
      </c>
      <c r="AF518" s="379">
        <f t="shared" si="590"/>
        <v>0</v>
      </c>
      <c r="AG518" s="379">
        <f t="shared" si="591"/>
        <v>0</v>
      </c>
      <c r="AH518" s="379">
        <f t="shared" si="592"/>
        <v>0</v>
      </c>
      <c r="AI518" s="379">
        <f t="shared" si="593"/>
        <v>0</v>
      </c>
      <c r="AJ518" s="379">
        <f t="shared" si="594"/>
        <v>0</v>
      </c>
      <c r="AK518" s="379">
        <f t="shared" si="595"/>
        <v>0</v>
      </c>
      <c r="AL518" s="379">
        <f t="shared" si="596"/>
        <v>0</v>
      </c>
      <c r="AM518" s="379">
        <f t="shared" si="597"/>
        <v>0</v>
      </c>
      <c r="AN518" s="490">
        <f t="shared" si="598"/>
        <v>0</v>
      </c>
      <c r="AO518" s="379">
        <f t="shared" si="599"/>
        <v>0</v>
      </c>
      <c r="AP518" s="379">
        <f t="shared" si="600"/>
        <v>0</v>
      </c>
      <c r="AQ518" s="379">
        <f t="shared" si="601"/>
        <v>0</v>
      </c>
      <c r="AR518" s="379">
        <f t="shared" si="602"/>
        <v>0</v>
      </c>
      <c r="AS518" s="379">
        <f t="shared" si="603"/>
        <v>0</v>
      </c>
      <c r="AT518" s="379">
        <f t="shared" si="604"/>
        <v>0</v>
      </c>
      <c r="AU518" s="379">
        <f t="shared" si="605"/>
        <v>0</v>
      </c>
      <c r="AV518" s="379">
        <f t="shared" si="606"/>
        <v>0</v>
      </c>
      <c r="AW518" s="379">
        <f t="shared" si="607"/>
        <v>0</v>
      </c>
      <c r="AX518" s="379">
        <f t="shared" si="608"/>
        <v>0</v>
      </c>
      <c r="AY518" s="379">
        <f t="shared" si="609"/>
        <v>0</v>
      </c>
    </row>
    <row r="519" spans="1:51" x14ac:dyDescent="0.2">
      <c r="A519" s="376">
        <v>15750</v>
      </c>
      <c r="B519" s="378" t="str">
        <f t="shared" si="562"/>
        <v>Narrabri (A)</v>
      </c>
      <c r="C519" s="377" t="str">
        <f t="shared" si="563"/>
        <v>NIRW</v>
      </c>
      <c r="D519" s="503" t="str">
        <f t="shared" si="564"/>
        <v>N</v>
      </c>
      <c r="E519" s="503"/>
      <c r="F519"/>
      <c r="G519" s="379">
        <f t="shared" si="565"/>
        <v>13717</v>
      </c>
      <c r="H519" s="379">
        <f t="shared" si="566"/>
        <v>5055</v>
      </c>
      <c r="I519" s="379">
        <f t="shared" si="567"/>
        <v>310</v>
      </c>
      <c r="J519" s="379" t="str">
        <f t="shared" si="568"/>
        <v>Y</v>
      </c>
      <c r="K519" s="379">
        <f t="shared" si="569"/>
        <v>4277</v>
      </c>
      <c r="L519" s="379">
        <f t="shared" si="570"/>
        <v>0</v>
      </c>
      <c r="M519" s="379">
        <f t="shared" si="571"/>
        <v>4245</v>
      </c>
      <c r="N519" s="379">
        <f t="shared" si="572"/>
        <v>0</v>
      </c>
      <c r="O519" s="379">
        <f t="shared" si="573"/>
        <v>4262</v>
      </c>
      <c r="P519" s="379" t="str">
        <f t="shared" si="574"/>
        <v>Y</v>
      </c>
      <c r="Q519" s="379" t="str">
        <f t="shared" si="575"/>
        <v>Y</v>
      </c>
      <c r="R519" s="379" t="str">
        <f t="shared" si="576"/>
        <v>9 transfer stations</v>
      </c>
      <c r="S519" s="379">
        <f t="shared" si="577"/>
        <v>0</v>
      </c>
      <c r="T519" s="379">
        <f t="shared" si="578"/>
        <v>0</v>
      </c>
      <c r="U519" s="379">
        <f t="shared" si="579"/>
        <v>0</v>
      </c>
      <c r="V519" s="379">
        <f t="shared" si="580"/>
        <v>0</v>
      </c>
      <c r="W519" s="379">
        <f t="shared" si="581"/>
        <v>0</v>
      </c>
      <c r="X519" s="379">
        <f t="shared" si="582"/>
        <v>0</v>
      </c>
      <c r="Y519" s="379">
        <f t="shared" si="583"/>
        <v>0</v>
      </c>
      <c r="Z519" s="379">
        <f t="shared" si="584"/>
        <v>0</v>
      </c>
      <c r="AA519" s="379">
        <f t="shared" si="585"/>
        <v>0</v>
      </c>
      <c r="AB519" s="379">
        <f t="shared" si="586"/>
        <v>0</v>
      </c>
      <c r="AC519" s="379">
        <f t="shared" si="587"/>
        <v>0</v>
      </c>
      <c r="AD519" s="379">
        <f t="shared" si="588"/>
        <v>0</v>
      </c>
      <c r="AE519" s="379">
        <f t="shared" si="589"/>
        <v>0</v>
      </c>
      <c r="AF519" s="379">
        <f t="shared" si="590"/>
        <v>0</v>
      </c>
      <c r="AG519" s="379">
        <f t="shared" si="591"/>
        <v>0</v>
      </c>
      <c r="AH519" s="379">
        <f t="shared" si="592"/>
        <v>0</v>
      </c>
      <c r="AI519" s="379">
        <f t="shared" si="593"/>
        <v>0</v>
      </c>
      <c r="AJ519" s="379">
        <f t="shared" si="594"/>
        <v>0</v>
      </c>
      <c r="AK519" s="379">
        <f t="shared" si="595"/>
        <v>0</v>
      </c>
      <c r="AL519" s="379">
        <f t="shared" si="596"/>
        <v>0</v>
      </c>
      <c r="AM519" s="379">
        <f t="shared" si="597"/>
        <v>0</v>
      </c>
      <c r="AN519" s="490">
        <f t="shared" si="598"/>
        <v>0</v>
      </c>
      <c r="AO519" s="379">
        <f t="shared" si="599"/>
        <v>0</v>
      </c>
      <c r="AP519" s="379">
        <f t="shared" si="600"/>
        <v>0</v>
      </c>
      <c r="AQ519" s="379">
        <f t="shared" si="601"/>
        <v>0</v>
      </c>
      <c r="AR519" s="379">
        <f t="shared" si="602"/>
        <v>0</v>
      </c>
      <c r="AS519" s="379">
        <f t="shared" si="603"/>
        <v>0</v>
      </c>
      <c r="AT519" s="379">
        <f t="shared" si="604"/>
        <v>0</v>
      </c>
      <c r="AU519" s="379">
        <f t="shared" si="605"/>
        <v>0</v>
      </c>
      <c r="AV519" s="379">
        <f t="shared" si="606"/>
        <v>0</v>
      </c>
      <c r="AW519" s="379">
        <f t="shared" si="607"/>
        <v>0</v>
      </c>
      <c r="AX519" s="379">
        <f t="shared" si="608"/>
        <v>0</v>
      </c>
      <c r="AY519" s="379">
        <f t="shared" si="609"/>
        <v>0</v>
      </c>
    </row>
    <row r="520" spans="1:51" x14ac:dyDescent="0.2">
      <c r="A520" s="376">
        <v>17310</v>
      </c>
      <c r="B520" s="378" t="str">
        <f t="shared" si="562"/>
        <v>Tamworth Regional (A)</v>
      </c>
      <c r="C520" s="377" t="str">
        <f t="shared" si="563"/>
        <v>NIRW</v>
      </c>
      <c r="D520" s="503" t="str">
        <f t="shared" si="564"/>
        <v>N</v>
      </c>
      <c r="E520" s="503"/>
      <c r="F520"/>
      <c r="G520" s="379">
        <f t="shared" si="565"/>
        <v>61800</v>
      </c>
      <c r="H520" s="379">
        <f t="shared" si="566"/>
        <v>23846</v>
      </c>
      <c r="I520" s="379">
        <f t="shared" si="567"/>
        <v>295</v>
      </c>
      <c r="J520" s="379" t="str">
        <f t="shared" si="568"/>
        <v>Y</v>
      </c>
      <c r="K520" s="379">
        <f t="shared" si="569"/>
        <v>25354</v>
      </c>
      <c r="L520" s="379">
        <f t="shared" si="570"/>
        <v>0</v>
      </c>
      <c r="M520" s="379">
        <f t="shared" si="571"/>
        <v>23846</v>
      </c>
      <c r="N520" s="379">
        <f t="shared" si="572"/>
        <v>22338</v>
      </c>
      <c r="O520" s="379">
        <f t="shared" si="573"/>
        <v>0</v>
      </c>
      <c r="P520" s="379" t="str">
        <f t="shared" si="574"/>
        <v>Y</v>
      </c>
      <c r="Q520" s="379" t="str">
        <f t="shared" si="575"/>
        <v>Y</v>
      </c>
      <c r="R520" s="379" t="str">
        <f t="shared" si="576"/>
        <v>Forest Road Waste Management Facility</v>
      </c>
      <c r="S520" s="379" t="str">
        <f t="shared" si="577"/>
        <v>Barraba Landfill</v>
      </c>
      <c r="T520" s="379" t="str">
        <f t="shared" si="578"/>
        <v>Duri Landfill</v>
      </c>
      <c r="U520" s="379" t="str">
        <f t="shared" si="579"/>
        <v>Manilla Landfill</v>
      </c>
      <c r="V520" s="379" t="str">
        <f t="shared" si="580"/>
        <v>Nundle Landfill</v>
      </c>
      <c r="W520" s="379" t="str">
        <f t="shared" si="581"/>
        <v>Kootingal, Niangala, Watsons Creek, Bendemeer, Dungowan</v>
      </c>
      <c r="X520" s="379">
        <f t="shared" si="582"/>
        <v>0</v>
      </c>
      <c r="Y520" s="379">
        <f t="shared" si="583"/>
        <v>0</v>
      </c>
      <c r="Z520" s="379">
        <f t="shared" si="584"/>
        <v>0</v>
      </c>
      <c r="AA520" s="379">
        <f t="shared" si="585"/>
        <v>0</v>
      </c>
      <c r="AB520" s="379">
        <f t="shared" si="586"/>
        <v>0</v>
      </c>
      <c r="AC520" s="379">
        <f t="shared" si="587"/>
        <v>0</v>
      </c>
      <c r="AD520" s="379">
        <f t="shared" si="588"/>
        <v>0</v>
      </c>
      <c r="AE520" s="379">
        <f t="shared" si="589"/>
        <v>0</v>
      </c>
      <c r="AF520" s="379">
        <f t="shared" si="590"/>
        <v>0</v>
      </c>
      <c r="AG520" s="379">
        <f t="shared" si="591"/>
        <v>0</v>
      </c>
      <c r="AH520" s="379">
        <f t="shared" si="592"/>
        <v>0</v>
      </c>
      <c r="AI520" s="379">
        <f t="shared" si="593"/>
        <v>0</v>
      </c>
      <c r="AJ520" s="379">
        <f t="shared" si="594"/>
        <v>0</v>
      </c>
      <c r="AK520" s="379">
        <f t="shared" si="595"/>
        <v>0</v>
      </c>
      <c r="AL520" s="379">
        <f t="shared" si="596"/>
        <v>0</v>
      </c>
      <c r="AM520" s="379">
        <f t="shared" si="597"/>
        <v>0</v>
      </c>
      <c r="AN520" s="490">
        <f t="shared" si="598"/>
        <v>0</v>
      </c>
      <c r="AO520" s="379">
        <f t="shared" si="599"/>
        <v>0</v>
      </c>
      <c r="AP520" s="379">
        <f t="shared" si="600"/>
        <v>0</v>
      </c>
      <c r="AQ520" s="379">
        <f t="shared" si="601"/>
        <v>0</v>
      </c>
      <c r="AR520" s="379">
        <f t="shared" si="602"/>
        <v>0</v>
      </c>
      <c r="AS520" s="379">
        <f t="shared" si="603"/>
        <v>0</v>
      </c>
      <c r="AT520" s="379">
        <f t="shared" si="604"/>
        <v>0</v>
      </c>
      <c r="AU520" s="379">
        <f t="shared" si="605"/>
        <v>0</v>
      </c>
      <c r="AV520" s="379">
        <f t="shared" si="606"/>
        <v>0</v>
      </c>
      <c r="AW520" s="379">
        <f t="shared" si="607"/>
        <v>0</v>
      </c>
      <c r="AX520" s="379">
        <f t="shared" si="608"/>
        <v>0</v>
      </c>
      <c r="AY520" s="379">
        <f t="shared" si="609"/>
        <v>0</v>
      </c>
    </row>
    <row r="521" spans="1:51" x14ac:dyDescent="0.2">
      <c r="A521" s="376">
        <v>17400</v>
      </c>
      <c r="B521" s="378" t="str">
        <f t="shared" si="562"/>
        <v>Tenterfield (A)</v>
      </c>
      <c r="C521" s="377" t="str">
        <f t="shared" si="563"/>
        <v>NIRW</v>
      </c>
      <c r="D521" s="503" t="str">
        <f t="shared" si="564"/>
        <v>N</v>
      </c>
      <c r="E521" s="503"/>
      <c r="F521"/>
      <c r="G521" s="379">
        <f t="shared" si="565"/>
        <v>7038</v>
      </c>
      <c r="H521" s="379">
        <f t="shared" si="566"/>
        <v>4547</v>
      </c>
      <c r="I521" s="379">
        <f t="shared" si="567"/>
        <v>327</v>
      </c>
      <c r="J521" s="379" t="str">
        <f t="shared" si="568"/>
        <v>Y</v>
      </c>
      <c r="K521" s="379">
        <f t="shared" si="569"/>
        <v>2163</v>
      </c>
      <c r="L521" s="379">
        <f t="shared" si="570"/>
        <v>0</v>
      </c>
      <c r="M521" s="379">
        <f t="shared" si="571"/>
        <v>1934</v>
      </c>
      <c r="N521" s="379">
        <f t="shared" si="572"/>
        <v>0</v>
      </c>
      <c r="O521" s="379">
        <f t="shared" si="573"/>
        <v>0</v>
      </c>
      <c r="P521" s="379">
        <f t="shared" si="574"/>
        <v>0</v>
      </c>
      <c r="Q521" s="379" t="str">
        <f t="shared" si="575"/>
        <v>Y</v>
      </c>
      <c r="R521" s="379" t="str">
        <f t="shared" si="576"/>
        <v>Tenterfield WTS</v>
      </c>
      <c r="S521" s="379" t="str">
        <f t="shared" si="577"/>
        <v>Drake WTS</v>
      </c>
      <c r="T521" s="379" t="str">
        <f t="shared" si="578"/>
        <v>Urbenville WTS</v>
      </c>
      <c r="U521" s="379" t="str">
        <f t="shared" si="579"/>
        <v>Liston WTS</v>
      </c>
      <c r="V521" s="379" t="str">
        <f t="shared" si="580"/>
        <v>Legume WTS</v>
      </c>
      <c r="W521" s="379">
        <f t="shared" si="581"/>
        <v>0</v>
      </c>
      <c r="X521" s="379">
        <f t="shared" si="582"/>
        <v>0</v>
      </c>
      <c r="Y521" s="379">
        <f t="shared" si="583"/>
        <v>0</v>
      </c>
      <c r="Z521" s="379">
        <f t="shared" si="584"/>
        <v>0</v>
      </c>
      <c r="AA521" s="379">
        <f t="shared" si="585"/>
        <v>0</v>
      </c>
      <c r="AB521" s="379">
        <f t="shared" si="586"/>
        <v>0</v>
      </c>
      <c r="AC521" s="379">
        <f t="shared" si="587"/>
        <v>0</v>
      </c>
      <c r="AD521" s="379">
        <f t="shared" si="588"/>
        <v>0</v>
      </c>
      <c r="AE521" s="379">
        <f t="shared" si="589"/>
        <v>0</v>
      </c>
      <c r="AF521" s="379">
        <f t="shared" si="590"/>
        <v>0</v>
      </c>
      <c r="AG521" s="379">
        <f t="shared" si="591"/>
        <v>0</v>
      </c>
      <c r="AH521" s="379">
        <f t="shared" si="592"/>
        <v>0</v>
      </c>
      <c r="AI521" s="379">
        <f t="shared" si="593"/>
        <v>0</v>
      </c>
      <c r="AJ521" s="379">
        <f t="shared" si="594"/>
        <v>0</v>
      </c>
      <c r="AK521" s="379">
        <f t="shared" si="595"/>
        <v>0</v>
      </c>
      <c r="AL521" s="379">
        <f t="shared" si="596"/>
        <v>0</v>
      </c>
      <c r="AM521" s="379">
        <f t="shared" si="597"/>
        <v>0</v>
      </c>
      <c r="AN521" s="490">
        <f t="shared" si="598"/>
        <v>0</v>
      </c>
      <c r="AO521" s="379">
        <f t="shared" si="599"/>
        <v>0</v>
      </c>
      <c r="AP521" s="379">
        <f t="shared" si="600"/>
        <v>0</v>
      </c>
      <c r="AQ521" s="379">
        <f t="shared" si="601"/>
        <v>0</v>
      </c>
      <c r="AR521" s="379">
        <f t="shared" si="602"/>
        <v>0</v>
      </c>
      <c r="AS521" s="379">
        <f t="shared" si="603"/>
        <v>0</v>
      </c>
      <c r="AT521" s="379">
        <f t="shared" si="604"/>
        <v>0</v>
      </c>
      <c r="AU521" s="379">
        <f t="shared" si="605"/>
        <v>0</v>
      </c>
      <c r="AV521" s="379">
        <f t="shared" si="606"/>
        <v>0</v>
      </c>
      <c r="AW521" s="379">
        <f t="shared" si="607"/>
        <v>0</v>
      </c>
      <c r="AX521" s="379">
        <f t="shared" si="608"/>
        <v>0</v>
      </c>
      <c r="AY521" s="379">
        <f t="shared" si="609"/>
        <v>0</v>
      </c>
    </row>
    <row r="522" spans="1:51" x14ac:dyDescent="0.2">
      <c r="A522" s="376">
        <v>17650</v>
      </c>
      <c r="B522" s="378" t="str">
        <f t="shared" si="562"/>
        <v>Uralla (A)</v>
      </c>
      <c r="C522" s="377" t="str">
        <f t="shared" si="563"/>
        <v>NIRW</v>
      </c>
      <c r="D522" s="503" t="str">
        <f t="shared" si="564"/>
        <v>N</v>
      </c>
      <c r="E522" s="503"/>
      <c r="F522"/>
      <c r="G522" s="379">
        <f t="shared" si="565"/>
        <v>6376</v>
      </c>
      <c r="H522" s="379">
        <f t="shared" si="566"/>
        <v>2780</v>
      </c>
      <c r="I522" s="379">
        <f t="shared" si="567"/>
        <v>315</v>
      </c>
      <c r="J522" s="379" t="str">
        <f t="shared" si="568"/>
        <v>Y</v>
      </c>
      <c r="K522" s="379">
        <f t="shared" si="569"/>
        <v>1701</v>
      </c>
      <c r="L522" s="379">
        <f t="shared" si="570"/>
        <v>0</v>
      </c>
      <c r="M522" s="379">
        <f t="shared" si="571"/>
        <v>1696</v>
      </c>
      <c r="N522" s="379">
        <f t="shared" si="572"/>
        <v>80</v>
      </c>
      <c r="O522" s="379">
        <f t="shared" si="573"/>
        <v>0</v>
      </c>
      <c r="P522" s="379">
        <f t="shared" si="574"/>
        <v>0</v>
      </c>
      <c r="Q522" s="379">
        <f t="shared" si="575"/>
        <v>0</v>
      </c>
      <c r="R522" s="379">
        <f t="shared" si="576"/>
        <v>0</v>
      </c>
      <c r="S522" s="379">
        <f t="shared" si="577"/>
        <v>0</v>
      </c>
      <c r="T522" s="379">
        <f t="shared" si="578"/>
        <v>0</v>
      </c>
      <c r="U522" s="379">
        <f t="shared" si="579"/>
        <v>0</v>
      </c>
      <c r="V522" s="379">
        <f t="shared" si="580"/>
        <v>0</v>
      </c>
      <c r="W522" s="379">
        <f t="shared" si="581"/>
        <v>0</v>
      </c>
      <c r="X522" s="379">
        <f t="shared" si="582"/>
        <v>0</v>
      </c>
      <c r="Y522" s="379">
        <f t="shared" si="583"/>
        <v>0</v>
      </c>
      <c r="Z522" s="379">
        <f t="shared" si="584"/>
        <v>0</v>
      </c>
      <c r="AA522" s="379">
        <f t="shared" si="585"/>
        <v>0</v>
      </c>
      <c r="AB522" s="379">
        <f t="shared" si="586"/>
        <v>0</v>
      </c>
      <c r="AC522" s="379">
        <f t="shared" si="587"/>
        <v>0</v>
      </c>
      <c r="AD522" s="379">
        <f t="shared" si="588"/>
        <v>0</v>
      </c>
      <c r="AE522" s="379">
        <f t="shared" si="589"/>
        <v>0</v>
      </c>
      <c r="AF522" s="379">
        <f t="shared" si="590"/>
        <v>0</v>
      </c>
      <c r="AG522" s="379">
        <f t="shared" si="591"/>
        <v>0</v>
      </c>
      <c r="AH522" s="379">
        <f t="shared" si="592"/>
        <v>0</v>
      </c>
      <c r="AI522" s="379">
        <f t="shared" si="593"/>
        <v>0</v>
      </c>
      <c r="AJ522" s="379">
        <f t="shared" si="594"/>
        <v>0</v>
      </c>
      <c r="AK522" s="379">
        <f t="shared" si="595"/>
        <v>0</v>
      </c>
      <c r="AL522" s="379">
        <f t="shared" si="596"/>
        <v>0</v>
      </c>
      <c r="AM522" s="379">
        <f t="shared" si="597"/>
        <v>0</v>
      </c>
      <c r="AN522" s="490">
        <f t="shared" si="598"/>
        <v>0</v>
      </c>
      <c r="AO522" s="379">
        <f t="shared" si="599"/>
        <v>0</v>
      </c>
      <c r="AP522" s="379">
        <f t="shared" si="600"/>
        <v>0</v>
      </c>
      <c r="AQ522" s="379">
        <f t="shared" si="601"/>
        <v>0</v>
      </c>
      <c r="AR522" s="379">
        <f t="shared" si="602"/>
        <v>0</v>
      </c>
      <c r="AS522" s="379">
        <f t="shared" si="603"/>
        <v>0</v>
      </c>
      <c r="AT522" s="379">
        <f t="shared" si="604"/>
        <v>0</v>
      </c>
      <c r="AU522" s="379">
        <f t="shared" si="605"/>
        <v>0</v>
      </c>
      <c r="AV522" s="379">
        <f t="shared" si="606"/>
        <v>0</v>
      </c>
      <c r="AW522" s="379">
        <f t="shared" si="607"/>
        <v>0</v>
      </c>
      <c r="AX522" s="379">
        <f t="shared" si="608"/>
        <v>0</v>
      </c>
      <c r="AY522" s="379">
        <f t="shared" si="609"/>
        <v>0</v>
      </c>
    </row>
    <row r="523" spans="1:51" ht="13.5" thickBot="1" x14ac:dyDescent="0.25">
      <c r="A523" s="376">
        <v>17850</v>
      </c>
      <c r="B523" s="378" t="str">
        <f t="shared" si="562"/>
        <v>Walcha (A)</v>
      </c>
      <c r="C523" s="377" t="str">
        <f t="shared" si="563"/>
        <v>NIRW</v>
      </c>
      <c r="D523" s="503" t="str">
        <f t="shared" si="564"/>
        <v>N</v>
      </c>
      <c r="E523" s="503"/>
      <c r="F523"/>
      <c r="G523" s="379">
        <f t="shared" si="565"/>
        <v>3054</v>
      </c>
      <c r="H523" s="379">
        <f t="shared" si="566"/>
        <v>741</v>
      </c>
      <c r="I523" s="379">
        <f t="shared" si="567"/>
        <v>474</v>
      </c>
      <c r="J523" s="379" t="str">
        <f t="shared" si="568"/>
        <v>Y</v>
      </c>
      <c r="K523" s="379">
        <f t="shared" si="569"/>
        <v>741</v>
      </c>
      <c r="L523" s="379">
        <f t="shared" si="570"/>
        <v>0</v>
      </c>
      <c r="M523" s="379">
        <f t="shared" si="571"/>
        <v>741</v>
      </c>
      <c r="N523" s="379">
        <f t="shared" si="572"/>
        <v>741</v>
      </c>
      <c r="O523" s="379">
        <f t="shared" si="573"/>
        <v>0</v>
      </c>
      <c r="P523" s="379">
        <f t="shared" si="574"/>
        <v>0</v>
      </c>
      <c r="Q523" s="379" t="str">
        <f t="shared" si="575"/>
        <v>Y</v>
      </c>
      <c r="R523" s="379" t="str">
        <f t="shared" si="576"/>
        <v>Walcha Waste Depot</v>
      </c>
      <c r="S523" s="379" t="str">
        <f t="shared" si="577"/>
        <v>Woolbrook Landfill</v>
      </c>
      <c r="T523" s="379" t="str">
        <f t="shared" si="578"/>
        <v>Nowendoc Landfill</v>
      </c>
      <c r="U523" s="379">
        <f t="shared" si="579"/>
        <v>0</v>
      </c>
      <c r="V523" s="379">
        <f t="shared" si="580"/>
        <v>0</v>
      </c>
      <c r="W523" s="379">
        <f t="shared" si="581"/>
        <v>0</v>
      </c>
      <c r="X523" s="379">
        <f t="shared" si="582"/>
        <v>0</v>
      </c>
      <c r="Y523" s="379">
        <f t="shared" si="583"/>
        <v>0</v>
      </c>
      <c r="Z523" s="379">
        <f t="shared" si="584"/>
        <v>0</v>
      </c>
      <c r="AA523" s="379">
        <f t="shared" si="585"/>
        <v>0</v>
      </c>
      <c r="AB523" s="379">
        <f t="shared" si="586"/>
        <v>0</v>
      </c>
      <c r="AC523" s="379">
        <f t="shared" si="587"/>
        <v>0</v>
      </c>
      <c r="AD523" s="379">
        <f t="shared" si="588"/>
        <v>0</v>
      </c>
      <c r="AE523" s="379">
        <f t="shared" si="589"/>
        <v>0</v>
      </c>
      <c r="AF523" s="379">
        <f t="shared" si="590"/>
        <v>0</v>
      </c>
      <c r="AG523" s="379">
        <f t="shared" si="591"/>
        <v>0</v>
      </c>
      <c r="AH523" s="379">
        <f t="shared" si="592"/>
        <v>0</v>
      </c>
      <c r="AI523" s="379">
        <f t="shared" si="593"/>
        <v>0</v>
      </c>
      <c r="AJ523" s="379">
        <f t="shared" si="594"/>
        <v>0</v>
      </c>
      <c r="AK523" s="379">
        <f t="shared" si="595"/>
        <v>0</v>
      </c>
      <c r="AL523" s="379">
        <f t="shared" si="596"/>
        <v>0</v>
      </c>
      <c r="AM523" s="379">
        <f t="shared" si="597"/>
        <v>0</v>
      </c>
      <c r="AN523" s="490">
        <f t="shared" si="598"/>
        <v>0</v>
      </c>
      <c r="AO523" s="379">
        <f t="shared" si="599"/>
        <v>0</v>
      </c>
      <c r="AP523" s="379">
        <f t="shared" si="600"/>
        <v>0</v>
      </c>
      <c r="AQ523" s="379">
        <f t="shared" si="601"/>
        <v>0</v>
      </c>
      <c r="AR523" s="379">
        <f t="shared" si="602"/>
        <v>0</v>
      </c>
      <c r="AS523" s="379">
        <f t="shared" si="603"/>
        <v>0</v>
      </c>
      <c r="AT523" s="379">
        <f t="shared" si="604"/>
        <v>0</v>
      </c>
      <c r="AU523" s="379">
        <f t="shared" si="605"/>
        <v>0</v>
      </c>
      <c r="AV523" s="379">
        <f t="shared" si="606"/>
        <v>0</v>
      </c>
      <c r="AW523" s="379">
        <f t="shared" si="607"/>
        <v>0</v>
      </c>
      <c r="AX523" s="379">
        <f t="shared" si="608"/>
        <v>0</v>
      </c>
      <c r="AY523" s="379">
        <f t="shared" si="609"/>
        <v>0</v>
      </c>
    </row>
    <row r="524" spans="1:51" ht="13.5" thickTop="1" x14ac:dyDescent="0.2">
      <c r="A524" s="380"/>
      <c r="B524" s="380"/>
      <c r="C524" s="380" t="s">
        <v>264</v>
      </c>
      <c r="D524" s="380"/>
      <c r="E524" s="484"/>
      <c r="F524" s="381"/>
      <c r="G524" s="382">
        <f t="shared" ref="G524:AY524" si="610">COUNTIF(G512:G523,"&gt;0")</f>
        <v>12</v>
      </c>
      <c r="H524" s="382">
        <f t="shared" si="610"/>
        <v>12</v>
      </c>
      <c r="I524" s="382">
        <f t="shared" si="610"/>
        <v>12</v>
      </c>
      <c r="J524" s="382">
        <f t="shared" si="610"/>
        <v>0</v>
      </c>
      <c r="K524" s="382">
        <f t="shared" si="610"/>
        <v>12</v>
      </c>
      <c r="L524" s="382">
        <f t="shared" si="610"/>
        <v>0</v>
      </c>
      <c r="M524" s="382">
        <f t="shared" si="610"/>
        <v>12</v>
      </c>
      <c r="N524" s="382">
        <f t="shared" si="610"/>
        <v>4</v>
      </c>
      <c r="O524" s="382">
        <f t="shared" si="610"/>
        <v>4</v>
      </c>
      <c r="P524" s="382">
        <f t="shared" si="610"/>
        <v>0</v>
      </c>
      <c r="Q524" s="382">
        <f t="shared" si="610"/>
        <v>0</v>
      </c>
      <c r="R524" s="382">
        <f t="shared" si="610"/>
        <v>0</v>
      </c>
      <c r="S524" s="382">
        <f t="shared" si="610"/>
        <v>0</v>
      </c>
      <c r="T524" s="382">
        <f t="shared" si="610"/>
        <v>0</v>
      </c>
      <c r="U524" s="382">
        <f t="shared" si="610"/>
        <v>0</v>
      </c>
      <c r="V524" s="382">
        <f t="shared" si="610"/>
        <v>0</v>
      </c>
      <c r="W524" s="382">
        <f t="shared" si="610"/>
        <v>0</v>
      </c>
      <c r="X524" s="382">
        <f t="shared" si="610"/>
        <v>0</v>
      </c>
      <c r="Y524" s="382">
        <f t="shared" si="610"/>
        <v>0</v>
      </c>
      <c r="Z524" s="382">
        <f t="shared" si="610"/>
        <v>0</v>
      </c>
      <c r="AA524" s="382">
        <f t="shared" si="610"/>
        <v>0</v>
      </c>
      <c r="AB524" s="382">
        <f t="shared" si="610"/>
        <v>0</v>
      </c>
      <c r="AC524" s="382">
        <f t="shared" si="610"/>
        <v>0</v>
      </c>
      <c r="AD524" s="382">
        <f t="shared" si="610"/>
        <v>0</v>
      </c>
      <c r="AE524" s="382">
        <f t="shared" si="610"/>
        <v>0</v>
      </c>
      <c r="AF524" s="382">
        <f t="shared" si="610"/>
        <v>0</v>
      </c>
      <c r="AG524" s="382">
        <f t="shared" si="610"/>
        <v>0</v>
      </c>
      <c r="AH524" s="382">
        <f t="shared" si="610"/>
        <v>0</v>
      </c>
      <c r="AI524" s="382">
        <f t="shared" si="610"/>
        <v>0</v>
      </c>
      <c r="AJ524" s="382">
        <f t="shared" si="610"/>
        <v>0</v>
      </c>
      <c r="AK524" s="382">
        <f t="shared" si="610"/>
        <v>0</v>
      </c>
      <c r="AL524" s="382">
        <f t="shared" si="610"/>
        <v>0</v>
      </c>
      <c r="AM524" s="382">
        <f t="shared" si="610"/>
        <v>0</v>
      </c>
      <c r="AN524" s="485">
        <f t="shared" si="610"/>
        <v>0</v>
      </c>
      <c r="AO524" s="382">
        <f t="shared" si="610"/>
        <v>0</v>
      </c>
      <c r="AP524" s="382">
        <f t="shared" si="610"/>
        <v>0</v>
      </c>
      <c r="AQ524" s="382">
        <f t="shared" si="610"/>
        <v>0</v>
      </c>
      <c r="AR524" s="382">
        <f t="shared" si="610"/>
        <v>0</v>
      </c>
      <c r="AS524" s="382">
        <f t="shared" si="610"/>
        <v>0</v>
      </c>
      <c r="AT524" s="382">
        <f t="shared" si="610"/>
        <v>0</v>
      </c>
      <c r="AU524" s="382">
        <f t="shared" si="610"/>
        <v>0</v>
      </c>
      <c r="AV524" s="382">
        <f t="shared" si="610"/>
        <v>0</v>
      </c>
      <c r="AW524" s="382">
        <f t="shared" si="610"/>
        <v>0</v>
      </c>
      <c r="AX524" s="382">
        <f t="shared" si="610"/>
        <v>0</v>
      </c>
      <c r="AY524" s="382">
        <f t="shared" si="610"/>
        <v>0</v>
      </c>
    </row>
    <row r="525" spans="1:51" x14ac:dyDescent="0.2">
      <c r="A525" s="376"/>
      <c r="B525" s="376"/>
      <c r="C525" s="376" t="s">
        <v>265</v>
      </c>
      <c r="D525" s="376"/>
      <c r="E525" s="488"/>
      <c r="F525" s="384"/>
      <c r="G525" s="385">
        <f t="shared" ref="G525:AY525" si="611">SUM(G512:G523)</f>
        <v>187696</v>
      </c>
      <c r="H525" s="385">
        <f t="shared" si="611"/>
        <v>75525</v>
      </c>
      <c r="I525" s="385">
        <f t="shared" si="611"/>
        <v>4201.3500000000004</v>
      </c>
      <c r="J525" s="385">
        <f t="shared" si="611"/>
        <v>0</v>
      </c>
      <c r="K525" s="385">
        <f t="shared" si="611"/>
        <v>68741</v>
      </c>
      <c r="L525" s="385">
        <f t="shared" si="611"/>
        <v>0</v>
      </c>
      <c r="M525" s="385">
        <f t="shared" si="611"/>
        <v>63223</v>
      </c>
      <c r="N525" s="385">
        <f t="shared" si="611"/>
        <v>26551</v>
      </c>
      <c r="O525" s="385">
        <f t="shared" si="611"/>
        <v>18828</v>
      </c>
      <c r="P525" s="385">
        <f t="shared" si="611"/>
        <v>0</v>
      </c>
      <c r="Q525" s="385">
        <f t="shared" si="611"/>
        <v>0</v>
      </c>
      <c r="R525" s="385">
        <f t="shared" si="611"/>
        <v>0</v>
      </c>
      <c r="S525" s="385">
        <f t="shared" si="611"/>
        <v>0</v>
      </c>
      <c r="T525" s="385">
        <f t="shared" si="611"/>
        <v>0</v>
      </c>
      <c r="U525" s="385">
        <f t="shared" si="611"/>
        <v>0</v>
      </c>
      <c r="V525" s="385">
        <f t="shared" si="611"/>
        <v>0</v>
      </c>
      <c r="W525" s="385">
        <f t="shared" si="611"/>
        <v>0</v>
      </c>
      <c r="X525" s="385">
        <f t="shared" si="611"/>
        <v>0</v>
      </c>
      <c r="Y525" s="385">
        <f t="shared" si="611"/>
        <v>0</v>
      </c>
      <c r="Z525" s="385">
        <f t="shared" si="611"/>
        <v>0</v>
      </c>
      <c r="AA525" s="385">
        <f t="shared" si="611"/>
        <v>0</v>
      </c>
      <c r="AB525" s="385">
        <f t="shared" si="611"/>
        <v>0</v>
      </c>
      <c r="AC525" s="385">
        <f t="shared" si="611"/>
        <v>0</v>
      </c>
      <c r="AD525" s="385">
        <f t="shared" si="611"/>
        <v>0</v>
      </c>
      <c r="AE525" s="385">
        <f t="shared" si="611"/>
        <v>0</v>
      </c>
      <c r="AF525" s="385">
        <f t="shared" si="611"/>
        <v>0</v>
      </c>
      <c r="AG525" s="385">
        <f t="shared" si="611"/>
        <v>0</v>
      </c>
      <c r="AH525" s="385">
        <f t="shared" si="611"/>
        <v>0</v>
      </c>
      <c r="AI525" s="385">
        <f t="shared" si="611"/>
        <v>0</v>
      </c>
      <c r="AJ525" s="385">
        <f t="shared" si="611"/>
        <v>0</v>
      </c>
      <c r="AK525" s="385">
        <f t="shared" si="611"/>
        <v>0</v>
      </c>
      <c r="AL525" s="385">
        <f t="shared" si="611"/>
        <v>0</v>
      </c>
      <c r="AM525" s="385">
        <f t="shared" si="611"/>
        <v>0</v>
      </c>
      <c r="AN525" s="489">
        <f t="shared" si="611"/>
        <v>0</v>
      </c>
      <c r="AO525" s="385">
        <f t="shared" si="611"/>
        <v>0</v>
      </c>
      <c r="AP525" s="385">
        <f t="shared" si="611"/>
        <v>0</v>
      </c>
      <c r="AQ525" s="385">
        <f t="shared" si="611"/>
        <v>0</v>
      </c>
      <c r="AR525" s="385">
        <f t="shared" si="611"/>
        <v>0</v>
      </c>
      <c r="AS525" s="385">
        <f t="shared" si="611"/>
        <v>0</v>
      </c>
      <c r="AT525" s="385">
        <f t="shared" si="611"/>
        <v>0</v>
      </c>
      <c r="AU525" s="385">
        <f t="shared" si="611"/>
        <v>0</v>
      </c>
      <c r="AV525" s="385">
        <f t="shared" si="611"/>
        <v>0</v>
      </c>
      <c r="AW525" s="385">
        <f t="shared" si="611"/>
        <v>0</v>
      </c>
      <c r="AX525" s="385">
        <f t="shared" si="611"/>
        <v>0</v>
      </c>
      <c r="AY525" s="385">
        <f t="shared" si="611"/>
        <v>0</v>
      </c>
    </row>
    <row r="526" spans="1:51" x14ac:dyDescent="0.2">
      <c r="A526" s="376"/>
      <c r="B526" s="376"/>
      <c r="C526" s="376" t="s">
        <v>266</v>
      </c>
      <c r="D526" s="376"/>
      <c r="E526" s="488"/>
      <c r="F526" s="384"/>
      <c r="G526" s="379">
        <f t="shared" ref="G526:AY526" si="612">MIN(G512:G523)</f>
        <v>3054</v>
      </c>
      <c r="H526" s="379">
        <f t="shared" si="612"/>
        <v>741</v>
      </c>
      <c r="I526" s="379">
        <f t="shared" si="612"/>
        <v>295</v>
      </c>
      <c r="J526" s="379">
        <f t="shared" si="612"/>
        <v>0</v>
      </c>
      <c r="K526" s="379">
        <f t="shared" si="612"/>
        <v>741</v>
      </c>
      <c r="L526" s="379">
        <f t="shared" si="612"/>
        <v>0</v>
      </c>
      <c r="M526" s="379">
        <f t="shared" si="612"/>
        <v>741</v>
      </c>
      <c r="N526" s="379">
        <f t="shared" si="612"/>
        <v>0</v>
      </c>
      <c r="O526" s="379">
        <f t="shared" si="612"/>
        <v>0</v>
      </c>
      <c r="P526" s="379">
        <f t="shared" si="612"/>
        <v>0</v>
      </c>
      <c r="Q526" s="379">
        <f t="shared" si="612"/>
        <v>0</v>
      </c>
      <c r="R526" s="379">
        <f t="shared" si="612"/>
        <v>0</v>
      </c>
      <c r="S526" s="379">
        <f t="shared" si="612"/>
        <v>0</v>
      </c>
      <c r="T526" s="379">
        <f t="shared" si="612"/>
        <v>0</v>
      </c>
      <c r="U526" s="379">
        <f t="shared" si="612"/>
        <v>0</v>
      </c>
      <c r="V526" s="379">
        <f t="shared" si="612"/>
        <v>0</v>
      </c>
      <c r="W526" s="379">
        <f t="shared" si="612"/>
        <v>0</v>
      </c>
      <c r="X526" s="379">
        <f t="shared" si="612"/>
        <v>0</v>
      </c>
      <c r="Y526" s="379">
        <f t="shared" si="612"/>
        <v>0</v>
      </c>
      <c r="Z526" s="379">
        <f t="shared" si="612"/>
        <v>0</v>
      </c>
      <c r="AA526" s="379">
        <f t="shared" si="612"/>
        <v>0</v>
      </c>
      <c r="AB526" s="379">
        <f t="shared" si="612"/>
        <v>0</v>
      </c>
      <c r="AC526" s="379">
        <f t="shared" si="612"/>
        <v>0</v>
      </c>
      <c r="AD526" s="379">
        <f t="shared" si="612"/>
        <v>0</v>
      </c>
      <c r="AE526" s="379">
        <f t="shared" si="612"/>
        <v>0</v>
      </c>
      <c r="AF526" s="379">
        <f t="shared" si="612"/>
        <v>0</v>
      </c>
      <c r="AG526" s="379">
        <f t="shared" si="612"/>
        <v>0</v>
      </c>
      <c r="AH526" s="379">
        <f t="shared" si="612"/>
        <v>0</v>
      </c>
      <c r="AI526" s="379">
        <f t="shared" si="612"/>
        <v>0</v>
      </c>
      <c r="AJ526" s="379">
        <f t="shared" si="612"/>
        <v>0</v>
      </c>
      <c r="AK526" s="379">
        <f t="shared" si="612"/>
        <v>0</v>
      </c>
      <c r="AL526" s="379">
        <f t="shared" si="612"/>
        <v>0</v>
      </c>
      <c r="AM526" s="379">
        <f t="shared" si="612"/>
        <v>0</v>
      </c>
      <c r="AN526" s="490">
        <f t="shared" si="612"/>
        <v>0</v>
      </c>
      <c r="AO526" s="379">
        <f t="shared" si="612"/>
        <v>0</v>
      </c>
      <c r="AP526" s="379">
        <f t="shared" si="612"/>
        <v>0</v>
      </c>
      <c r="AQ526" s="379">
        <f t="shared" si="612"/>
        <v>0</v>
      </c>
      <c r="AR526" s="379">
        <f t="shared" si="612"/>
        <v>0</v>
      </c>
      <c r="AS526" s="379">
        <f t="shared" si="612"/>
        <v>0</v>
      </c>
      <c r="AT526" s="379">
        <f t="shared" si="612"/>
        <v>0</v>
      </c>
      <c r="AU526" s="379">
        <f t="shared" si="612"/>
        <v>0</v>
      </c>
      <c r="AV526" s="379">
        <f t="shared" si="612"/>
        <v>0</v>
      </c>
      <c r="AW526" s="379">
        <f t="shared" si="612"/>
        <v>0</v>
      </c>
      <c r="AX526" s="379">
        <f t="shared" si="612"/>
        <v>0</v>
      </c>
      <c r="AY526" s="379">
        <f t="shared" si="612"/>
        <v>0</v>
      </c>
    </row>
    <row r="527" spans="1:51" x14ac:dyDescent="0.2">
      <c r="A527" s="376"/>
      <c r="B527" s="376"/>
      <c r="C527" s="376" t="s">
        <v>267</v>
      </c>
      <c r="D527" s="376"/>
      <c r="E527" s="488"/>
      <c r="F527" s="384"/>
      <c r="G527" s="379">
        <f t="shared" ref="G527:AY527" si="613">MAX(G512:G523)</f>
        <v>61800</v>
      </c>
      <c r="H527" s="379">
        <f t="shared" si="613"/>
        <v>23846</v>
      </c>
      <c r="I527" s="379">
        <f t="shared" si="613"/>
        <v>474</v>
      </c>
      <c r="J527" s="379">
        <f t="shared" si="613"/>
        <v>0</v>
      </c>
      <c r="K527" s="379">
        <f t="shared" si="613"/>
        <v>25354</v>
      </c>
      <c r="L527" s="379">
        <f t="shared" si="613"/>
        <v>0</v>
      </c>
      <c r="M527" s="379">
        <f t="shared" si="613"/>
        <v>23846</v>
      </c>
      <c r="N527" s="379">
        <f t="shared" si="613"/>
        <v>22338</v>
      </c>
      <c r="O527" s="379">
        <f t="shared" si="613"/>
        <v>8567</v>
      </c>
      <c r="P527" s="379">
        <f t="shared" si="613"/>
        <v>0</v>
      </c>
      <c r="Q527" s="379">
        <f t="shared" si="613"/>
        <v>0</v>
      </c>
      <c r="R527" s="379">
        <f t="shared" si="613"/>
        <v>0</v>
      </c>
      <c r="S527" s="379">
        <f t="shared" si="613"/>
        <v>0</v>
      </c>
      <c r="T527" s="379">
        <f t="shared" si="613"/>
        <v>0</v>
      </c>
      <c r="U527" s="379">
        <f t="shared" si="613"/>
        <v>0</v>
      </c>
      <c r="V527" s="379">
        <f t="shared" si="613"/>
        <v>0</v>
      </c>
      <c r="W527" s="379">
        <f t="shared" si="613"/>
        <v>0</v>
      </c>
      <c r="X527" s="379">
        <f t="shared" si="613"/>
        <v>0</v>
      </c>
      <c r="Y527" s="379">
        <f t="shared" si="613"/>
        <v>0</v>
      </c>
      <c r="Z527" s="379">
        <f t="shared" si="613"/>
        <v>0</v>
      </c>
      <c r="AA527" s="379">
        <f t="shared" si="613"/>
        <v>0</v>
      </c>
      <c r="AB527" s="379">
        <f t="shared" si="613"/>
        <v>0</v>
      </c>
      <c r="AC527" s="379">
        <f t="shared" si="613"/>
        <v>0</v>
      </c>
      <c r="AD527" s="379">
        <f t="shared" si="613"/>
        <v>0</v>
      </c>
      <c r="AE527" s="379">
        <f t="shared" si="613"/>
        <v>0</v>
      </c>
      <c r="AF527" s="379">
        <f t="shared" si="613"/>
        <v>0</v>
      </c>
      <c r="AG527" s="379">
        <f t="shared" si="613"/>
        <v>0</v>
      </c>
      <c r="AH527" s="379">
        <f t="shared" si="613"/>
        <v>0</v>
      </c>
      <c r="AI527" s="379">
        <f t="shared" si="613"/>
        <v>0</v>
      </c>
      <c r="AJ527" s="379">
        <f t="shared" si="613"/>
        <v>0</v>
      </c>
      <c r="AK527" s="379">
        <f t="shared" si="613"/>
        <v>0</v>
      </c>
      <c r="AL527" s="379">
        <f t="shared" si="613"/>
        <v>0</v>
      </c>
      <c r="AM527" s="379">
        <f t="shared" si="613"/>
        <v>0</v>
      </c>
      <c r="AN527" s="490">
        <f t="shared" si="613"/>
        <v>0</v>
      </c>
      <c r="AO527" s="379">
        <f t="shared" si="613"/>
        <v>0</v>
      </c>
      <c r="AP527" s="379">
        <f t="shared" si="613"/>
        <v>0</v>
      </c>
      <c r="AQ527" s="379">
        <f t="shared" si="613"/>
        <v>0</v>
      </c>
      <c r="AR527" s="379">
        <f t="shared" si="613"/>
        <v>0</v>
      </c>
      <c r="AS527" s="379">
        <f t="shared" si="613"/>
        <v>0</v>
      </c>
      <c r="AT527" s="379">
        <f t="shared" si="613"/>
        <v>0</v>
      </c>
      <c r="AU527" s="379">
        <f t="shared" si="613"/>
        <v>0</v>
      </c>
      <c r="AV527" s="379">
        <f t="shared" si="613"/>
        <v>0</v>
      </c>
      <c r="AW527" s="379">
        <f t="shared" si="613"/>
        <v>0</v>
      </c>
      <c r="AX527" s="379">
        <f t="shared" si="613"/>
        <v>0</v>
      </c>
      <c r="AY527" s="379">
        <f t="shared" si="613"/>
        <v>0</v>
      </c>
    </row>
    <row r="528" spans="1:51" x14ac:dyDescent="0.2">
      <c r="A528" s="376"/>
      <c r="B528" s="376"/>
      <c r="C528" s="376" t="s">
        <v>268</v>
      </c>
      <c r="D528" s="376"/>
      <c r="E528" s="488"/>
      <c r="F528" s="384"/>
      <c r="G528" s="379">
        <f t="shared" ref="G528:AY528" si="614">AVERAGE(G512:G523)</f>
        <v>15641.333333333334</v>
      </c>
      <c r="H528" s="379">
        <f t="shared" si="614"/>
        <v>6293.75</v>
      </c>
      <c r="I528" s="379">
        <f t="shared" si="614"/>
        <v>350.11250000000001</v>
      </c>
      <c r="J528" s="379" t="e">
        <f t="shared" si="614"/>
        <v>#DIV/0!</v>
      </c>
      <c r="K528" s="379">
        <f t="shared" si="614"/>
        <v>5728.416666666667</v>
      </c>
      <c r="L528" s="379">
        <f t="shared" si="614"/>
        <v>0</v>
      </c>
      <c r="M528" s="379">
        <f t="shared" si="614"/>
        <v>5268.583333333333</v>
      </c>
      <c r="N528" s="379">
        <f t="shared" si="614"/>
        <v>2212.5833333333335</v>
      </c>
      <c r="O528" s="379">
        <f t="shared" si="614"/>
        <v>1569</v>
      </c>
      <c r="P528" s="379">
        <f t="shared" si="614"/>
        <v>0</v>
      </c>
      <c r="Q528" s="379">
        <f t="shared" si="614"/>
        <v>0</v>
      </c>
      <c r="R528" s="379">
        <f t="shared" si="614"/>
        <v>0</v>
      </c>
      <c r="S528" s="379">
        <f t="shared" si="614"/>
        <v>0</v>
      </c>
      <c r="T528" s="379">
        <f t="shared" si="614"/>
        <v>0</v>
      </c>
      <c r="U528" s="379">
        <f t="shared" si="614"/>
        <v>0</v>
      </c>
      <c r="V528" s="379">
        <f t="shared" si="614"/>
        <v>0</v>
      </c>
      <c r="W528" s="379">
        <f t="shared" si="614"/>
        <v>0</v>
      </c>
      <c r="X528" s="379">
        <f t="shared" si="614"/>
        <v>0</v>
      </c>
      <c r="Y528" s="379">
        <f t="shared" si="614"/>
        <v>0</v>
      </c>
      <c r="Z528" s="379">
        <f t="shared" si="614"/>
        <v>0</v>
      </c>
      <c r="AA528" s="379">
        <f t="shared" si="614"/>
        <v>0</v>
      </c>
      <c r="AB528" s="379">
        <f t="shared" si="614"/>
        <v>0</v>
      </c>
      <c r="AC528" s="379">
        <f t="shared" si="614"/>
        <v>0</v>
      </c>
      <c r="AD528" s="379">
        <f t="shared" si="614"/>
        <v>0</v>
      </c>
      <c r="AE528" s="379">
        <f t="shared" si="614"/>
        <v>0</v>
      </c>
      <c r="AF528" s="379">
        <f t="shared" si="614"/>
        <v>0</v>
      </c>
      <c r="AG528" s="379">
        <f t="shared" si="614"/>
        <v>0</v>
      </c>
      <c r="AH528" s="379">
        <f t="shared" si="614"/>
        <v>0</v>
      </c>
      <c r="AI528" s="379">
        <f t="shared" si="614"/>
        <v>0</v>
      </c>
      <c r="AJ528" s="379">
        <f t="shared" si="614"/>
        <v>0</v>
      </c>
      <c r="AK528" s="379">
        <f t="shared" si="614"/>
        <v>0</v>
      </c>
      <c r="AL528" s="379">
        <f t="shared" si="614"/>
        <v>0</v>
      </c>
      <c r="AM528" s="379">
        <f t="shared" si="614"/>
        <v>0</v>
      </c>
      <c r="AN528" s="490">
        <f t="shared" si="614"/>
        <v>0</v>
      </c>
      <c r="AO528" s="379">
        <f t="shared" si="614"/>
        <v>0</v>
      </c>
      <c r="AP528" s="379">
        <f t="shared" si="614"/>
        <v>0</v>
      </c>
      <c r="AQ528" s="379">
        <f t="shared" si="614"/>
        <v>0</v>
      </c>
      <c r="AR528" s="379">
        <f t="shared" si="614"/>
        <v>0</v>
      </c>
      <c r="AS528" s="379">
        <f t="shared" si="614"/>
        <v>0</v>
      </c>
      <c r="AT528" s="379">
        <f t="shared" si="614"/>
        <v>0</v>
      </c>
      <c r="AU528" s="379">
        <f t="shared" si="614"/>
        <v>0</v>
      </c>
      <c r="AV528" s="379">
        <f t="shared" si="614"/>
        <v>0</v>
      </c>
      <c r="AW528" s="379">
        <f t="shared" si="614"/>
        <v>0</v>
      </c>
      <c r="AX528" s="379">
        <f t="shared" si="614"/>
        <v>0</v>
      </c>
      <c r="AY528" s="379">
        <f t="shared" si="614"/>
        <v>0</v>
      </c>
    </row>
    <row r="529" spans="1:51" ht="13.5" thickBot="1" x14ac:dyDescent="0.25">
      <c r="A529" s="386"/>
      <c r="B529" s="386"/>
      <c r="C529" s="386" t="s">
        <v>269</v>
      </c>
      <c r="D529" s="386"/>
      <c r="E529" s="491"/>
      <c r="F529" s="384"/>
      <c r="G529" s="388">
        <f t="shared" ref="G529:AY529" si="615">MEDIAN(G512:G523)</f>
        <v>10995</v>
      </c>
      <c r="H529" s="388">
        <f t="shared" si="615"/>
        <v>4413.5</v>
      </c>
      <c r="I529" s="388">
        <f t="shared" si="615"/>
        <v>324</v>
      </c>
      <c r="J529" s="388" t="e">
        <f t="shared" si="615"/>
        <v>#NUM!</v>
      </c>
      <c r="K529" s="388">
        <f t="shared" si="615"/>
        <v>4034.5</v>
      </c>
      <c r="L529" s="388">
        <f t="shared" si="615"/>
        <v>0</v>
      </c>
      <c r="M529" s="388">
        <f t="shared" si="615"/>
        <v>4018.5</v>
      </c>
      <c r="N529" s="388">
        <f t="shared" si="615"/>
        <v>0</v>
      </c>
      <c r="O529" s="388">
        <f t="shared" si="615"/>
        <v>0</v>
      </c>
      <c r="P529" s="388">
        <f t="shared" si="615"/>
        <v>0</v>
      </c>
      <c r="Q529" s="388">
        <f t="shared" si="615"/>
        <v>0</v>
      </c>
      <c r="R529" s="388">
        <f t="shared" si="615"/>
        <v>0</v>
      </c>
      <c r="S529" s="388">
        <f t="shared" si="615"/>
        <v>0</v>
      </c>
      <c r="T529" s="388">
        <f t="shared" si="615"/>
        <v>0</v>
      </c>
      <c r="U529" s="388">
        <f t="shared" si="615"/>
        <v>0</v>
      </c>
      <c r="V529" s="388">
        <f t="shared" si="615"/>
        <v>0</v>
      </c>
      <c r="W529" s="388">
        <f t="shared" si="615"/>
        <v>0</v>
      </c>
      <c r="X529" s="388">
        <f t="shared" si="615"/>
        <v>0</v>
      </c>
      <c r="Y529" s="388">
        <f t="shared" si="615"/>
        <v>0</v>
      </c>
      <c r="Z529" s="388">
        <f t="shared" si="615"/>
        <v>0</v>
      </c>
      <c r="AA529" s="388">
        <f t="shared" si="615"/>
        <v>0</v>
      </c>
      <c r="AB529" s="388">
        <f t="shared" si="615"/>
        <v>0</v>
      </c>
      <c r="AC529" s="388">
        <f t="shared" si="615"/>
        <v>0</v>
      </c>
      <c r="AD529" s="388">
        <f t="shared" si="615"/>
        <v>0</v>
      </c>
      <c r="AE529" s="388">
        <f t="shared" si="615"/>
        <v>0</v>
      </c>
      <c r="AF529" s="388">
        <f t="shared" si="615"/>
        <v>0</v>
      </c>
      <c r="AG529" s="388">
        <f t="shared" si="615"/>
        <v>0</v>
      </c>
      <c r="AH529" s="388">
        <f t="shared" si="615"/>
        <v>0</v>
      </c>
      <c r="AI529" s="388">
        <f t="shared" si="615"/>
        <v>0</v>
      </c>
      <c r="AJ529" s="388">
        <f t="shared" si="615"/>
        <v>0</v>
      </c>
      <c r="AK529" s="388">
        <f t="shared" si="615"/>
        <v>0</v>
      </c>
      <c r="AL529" s="388">
        <f t="shared" si="615"/>
        <v>0</v>
      </c>
      <c r="AM529" s="388">
        <f t="shared" si="615"/>
        <v>0</v>
      </c>
      <c r="AN529" s="492">
        <f t="shared" si="615"/>
        <v>0</v>
      </c>
      <c r="AO529" s="388">
        <f t="shared" si="615"/>
        <v>0</v>
      </c>
      <c r="AP529" s="388">
        <f t="shared" si="615"/>
        <v>0</v>
      </c>
      <c r="AQ529" s="388">
        <f t="shared" si="615"/>
        <v>0</v>
      </c>
      <c r="AR529" s="388">
        <f t="shared" si="615"/>
        <v>0</v>
      </c>
      <c r="AS529" s="388">
        <f t="shared" si="615"/>
        <v>0</v>
      </c>
      <c r="AT529" s="388">
        <f t="shared" si="615"/>
        <v>0</v>
      </c>
      <c r="AU529" s="388">
        <f t="shared" si="615"/>
        <v>0</v>
      </c>
      <c r="AV529" s="388">
        <f t="shared" si="615"/>
        <v>0</v>
      </c>
      <c r="AW529" s="388">
        <f t="shared" si="615"/>
        <v>0</v>
      </c>
      <c r="AX529" s="388">
        <f t="shared" si="615"/>
        <v>0</v>
      </c>
      <c r="AY529" s="388">
        <f t="shared" si="615"/>
        <v>0</v>
      </c>
    </row>
    <row r="530" spans="1:51" ht="13.5" thickTop="1" x14ac:dyDescent="0.2">
      <c r="B530"/>
      <c r="C530" s="278"/>
      <c r="D530" s="278"/>
      <c r="E530" s="507"/>
    </row>
    <row r="531" spans="1:51" ht="13.5" thickBot="1" x14ac:dyDescent="0.25">
      <c r="A531" s="400"/>
      <c r="B531" s="400"/>
      <c r="C531" s="402" t="s">
        <v>294</v>
      </c>
      <c r="D531" s="402"/>
      <c r="E531" s="503"/>
    </row>
    <row r="532" spans="1:51" ht="13.5" thickTop="1" x14ac:dyDescent="0.2">
      <c r="A532" s="376">
        <v>10600</v>
      </c>
      <c r="B532" s="378" t="str">
        <f t="shared" ref="B532:B537" si="616">VLOOKUP($A532,$A$5:$L$133,2,FALSE)</f>
        <v>Bellingen (A)</v>
      </c>
      <c r="C532" s="377" t="str">
        <f t="shared" ref="C532:C537" si="617">VLOOKUP($A532,$A$5:$L$133,3,FALSE)</f>
        <v>MidWaste</v>
      </c>
      <c r="D532" s="503" t="str">
        <f t="shared" ref="D532:D537" si="618">VLOOKUP($A532,$A$5:$L$133,4,FALSE)</f>
        <v>R</v>
      </c>
      <c r="E532" s="503"/>
      <c r="F532"/>
      <c r="G532" s="379">
        <f t="shared" ref="G532:G537" si="619">VLOOKUP($A532,$A$5:$AY$132,7,FALSE)</f>
        <v>13066</v>
      </c>
      <c r="H532" s="379">
        <f t="shared" ref="H532:H537" si="620">VLOOKUP($A532,$A$5:$AY$132,8,FALSE)</f>
        <v>5911</v>
      </c>
      <c r="I532" s="379">
        <f t="shared" ref="I532:I537" si="621">VLOOKUP($A532,$A$5:$AY$132,9,FALSE)</f>
        <v>659</v>
      </c>
      <c r="J532" s="379" t="str">
        <f t="shared" ref="J532:J537" si="622">VLOOKUP($A532,$A$5:$AY$132,10,FALSE)</f>
        <v>Y</v>
      </c>
      <c r="K532" s="379">
        <f t="shared" ref="K532:K537" si="623">VLOOKUP($A532,$A$5:$AY$132,11,FALSE)</f>
        <v>4045</v>
      </c>
      <c r="L532" s="379" t="str">
        <f t="shared" ref="L532:L537" si="624">VLOOKUP($A532,$A$5:$AY$132,12,FALSE)</f>
        <v>Y</v>
      </c>
      <c r="M532" s="379">
        <f t="shared" ref="M532:M537" si="625">VLOOKUP($A532,$A$4:$AY$132,13,FALSE)</f>
        <v>4045</v>
      </c>
      <c r="N532" s="379">
        <f t="shared" ref="N532:N537" si="626">VLOOKUP($A532,$A$4:$AY$132,14,FALSE)</f>
        <v>0</v>
      </c>
      <c r="O532" s="379">
        <f t="shared" ref="O532:O537" si="627">VLOOKUP($A532,$A$4:$AY$132,15,FALSE)</f>
        <v>4045</v>
      </c>
      <c r="P532" s="379" t="str">
        <f t="shared" ref="P532:P537" si="628">VLOOKUP($A532,$A$4:$AY$132,16,FALSE)</f>
        <v>Y</v>
      </c>
      <c r="Q532" s="379" t="str">
        <f t="shared" ref="Q532:Q537" si="629">VLOOKUP($A532,$A$4:$AY$132,17,FALSE)</f>
        <v>Y</v>
      </c>
      <c r="R532" s="379" t="str">
        <f t="shared" ref="R532:R537" si="630">VLOOKUP($A532,$A$4:$AY$132,18,FALSE)</f>
        <v>Raleigh Waste Management Centre</v>
      </c>
      <c r="S532" s="379" t="str">
        <f t="shared" ref="S532:S537" si="631">VLOOKUP($A532,$A$4:$AY$132,19,FALSE)</f>
        <v>Bellingen Transfer Station</v>
      </c>
      <c r="T532" s="379" t="str">
        <f t="shared" ref="T532:T537" si="632">VLOOKUP($A532,$A$4:$AY$132,20,FALSE)</f>
        <v>Dorrigo Waste Management Centre</v>
      </c>
      <c r="U532" s="379">
        <f t="shared" ref="U532:U537" si="633">VLOOKUP($A532,$A$4:$AY$132,21,FALSE)</f>
        <v>0</v>
      </c>
      <c r="V532" s="379">
        <f t="shared" ref="V532:V537" si="634">VLOOKUP($A532,$A$4:$AY$132,22,FALSE)</f>
        <v>0</v>
      </c>
      <c r="W532" s="379">
        <f t="shared" ref="W532:W537" si="635">VLOOKUP($A532,$A$4:$AY$132,23,FALSE)</f>
        <v>0</v>
      </c>
      <c r="X532" s="379">
        <f t="shared" ref="X532:X537" si="636">VLOOKUP($A532,$A$4:$AY$132,24,FALSE)</f>
        <v>0</v>
      </c>
      <c r="Y532" s="379">
        <f t="shared" ref="Y532:Y537" si="637">VLOOKUP($A532,$A$4:$AY$132,25,FALSE)</f>
        <v>0</v>
      </c>
      <c r="Z532" s="379">
        <f t="shared" ref="Z532:Z537" si="638">VLOOKUP($A532,$A$4:$AY$132,26,FALSE)</f>
        <v>0</v>
      </c>
      <c r="AA532" s="379">
        <f t="shared" ref="AA532:AA537" si="639">VLOOKUP($A532,$A$4:$AY$132,27,FALSE)</f>
        <v>0</v>
      </c>
      <c r="AB532" s="379">
        <f t="shared" ref="AB532:AB537" si="640">VLOOKUP($A532,$A$4:$AY$132,28,FALSE)</f>
        <v>0</v>
      </c>
      <c r="AC532" s="379">
        <f t="shared" ref="AC532:AC537" si="641">VLOOKUP($A532,$A$4:$AY$132,29,FALSE)</f>
        <v>0</v>
      </c>
      <c r="AD532" s="379">
        <f t="shared" ref="AD532:AD537" si="642">VLOOKUP($A532,$A$4:$AY$132,30,FALSE)</f>
        <v>0</v>
      </c>
      <c r="AE532" s="379">
        <f t="shared" ref="AE532:AE537" si="643">VLOOKUP($A532,$A$4:$AY$132,31,FALSE)</f>
        <v>0</v>
      </c>
      <c r="AF532" s="379">
        <f t="shared" ref="AF532:AF537" si="644">VLOOKUP($A532,$A$4:$AY$132,32,FALSE)</f>
        <v>0</v>
      </c>
      <c r="AG532" s="379">
        <f t="shared" ref="AG532:AG537" si="645">VLOOKUP($A532,$A$4:$AY$132,33,FALSE)</f>
        <v>0</v>
      </c>
      <c r="AH532" s="379">
        <f t="shared" ref="AH532:AH537" si="646">VLOOKUP($A532,$A$4:$AY$132,34,FALSE)</f>
        <v>0</v>
      </c>
      <c r="AI532" s="379">
        <f t="shared" ref="AI532:AI537" si="647">VLOOKUP($A532,$A$4:$AY$132,35,FALSE)</f>
        <v>0</v>
      </c>
      <c r="AJ532" s="379">
        <f t="shared" ref="AJ532:AJ537" si="648">VLOOKUP($A532,$A$4:$AY$132,36,FALSE)</f>
        <v>0</v>
      </c>
      <c r="AK532" s="379">
        <f t="shared" ref="AK532:AK537" si="649">VLOOKUP($A532,$A$4:$AY$132,37,FALSE)</f>
        <v>0</v>
      </c>
      <c r="AL532" s="379">
        <f t="shared" ref="AL532:AL537" si="650">VLOOKUP($A532,$A$4:$AY$132,38,FALSE)</f>
        <v>0</v>
      </c>
      <c r="AM532" s="379">
        <f t="shared" ref="AM532:AM537" si="651">VLOOKUP($A532,$A$4:$AY$132,39,FALSE)</f>
        <v>0</v>
      </c>
      <c r="AN532" s="490">
        <f t="shared" ref="AN532:AN537" si="652">VLOOKUP($A532,$A$4:$AY$132,40,FALSE)</f>
        <v>0</v>
      </c>
      <c r="AO532" s="379">
        <f t="shared" ref="AO532:AO537" si="653">VLOOKUP($A532,$A$4:$AY$132,41,FALSE)</f>
        <v>0</v>
      </c>
      <c r="AP532" s="379">
        <f t="shared" ref="AP532:AP537" si="654">VLOOKUP($A532,$A$4:$AY$132,42,FALSE)</f>
        <v>0</v>
      </c>
      <c r="AQ532" s="379">
        <f t="shared" ref="AQ532:AQ537" si="655">VLOOKUP($A532,$A$4:$AY$132,43,FALSE)</f>
        <v>0</v>
      </c>
      <c r="AR532" s="379">
        <f t="shared" ref="AR532:AR537" si="656">VLOOKUP($A532,$A$4:$AY$132,44,FALSE)</f>
        <v>0</v>
      </c>
      <c r="AS532" s="379">
        <f t="shared" ref="AS532:AS537" si="657">VLOOKUP($A532,$A$4:$AY$132,45,FALSE)</f>
        <v>0</v>
      </c>
      <c r="AT532" s="379">
        <f t="shared" ref="AT532:AT537" si="658">VLOOKUP($A532,$A$4:$AY$132,46,FALSE)</f>
        <v>0</v>
      </c>
      <c r="AU532" s="379">
        <f t="shared" ref="AU532:AU537" si="659">VLOOKUP($A532,$A$4:$AY$132,47,FALSE)</f>
        <v>0</v>
      </c>
      <c r="AV532" s="379">
        <f t="shared" ref="AV532:AV537" si="660">VLOOKUP($A532,$A$4:$AY$132,48,FALSE)</f>
        <v>0</v>
      </c>
      <c r="AW532" s="379">
        <f t="shared" ref="AW532:AW537" si="661">VLOOKUP($A532,$A$4:$AY$132,49,FALSE)</f>
        <v>0</v>
      </c>
      <c r="AX532" s="379">
        <f t="shared" ref="AX532:AX537" si="662">VLOOKUP($A532,$A$4:$AY$132,50,FALSE)</f>
        <v>0</v>
      </c>
      <c r="AY532" s="379">
        <f t="shared" ref="AY532:AY537" si="663">VLOOKUP($A532,$A$4:$AY$132,51,FALSE)</f>
        <v>0</v>
      </c>
    </row>
    <row r="533" spans="1:51" x14ac:dyDescent="0.2">
      <c r="A533" s="376">
        <v>11800</v>
      </c>
      <c r="B533" s="378" t="str">
        <f t="shared" si="616"/>
        <v>Coffs Harbour (C)</v>
      </c>
      <c r="C533" s="377" t="str">
        <f t="shared" si="617"/>
        <v>MidWaste</v>
      </c>
      <c r="D533" s="503" t="str">
        <f t="shared" si="618"/>
        <v>R</v>
      </c>
      <c r="E533" s="503"/>
      <c r="F533"/>
      <c r="G533" s="379">
        <f t="shared" si="619"/>
        <v>73892</v>
      </c>
      <c r="H533" s="379">
        <f t="shared" si="620"/>
        <v>29320</v>
      </c>
      <c r="I533" s="379">
        <f t="shared" si="621"/>
        <v>636</v>
      </c>
      <c r="J533" s="379" t="str">
        <f t="shared" si="622"/>
        <v>Y</v>
      </c>
      <c r="K533" s="379">
        <f t="shared" si="623"/>
        <v>32052</v>
      </c>
      <c r="L533" s="379" t="str">
        <f t="shared" si="624"/>
        <v>Y</v>
      </c>
      <c r="M533" s="379">
        <f t="shared" si="625"/>
        <v>27207</v>
      </c>
      <c r="N533" s="379">
        <f t="shared" si="626"/>
        <v>0</v>
      </c>
      <c r="O533" s="379">
        <f t="shared" si="627"/>
        <v>32079</v>
      </c>
      <c r="P533" s="379" t="str">
        <f t="shared" si="628"/>
        <v>Y</v>
      </c>
      <c r="Q533" s="379" t="str">
        <f t="shared" si="629"/>
        <v>Y</v>
      </c>
      <c r="R533" s="379" t="str">
        <f t="shared" si="630"/>
        <v>Coramba Transfer Station</v>
      </c>
      <c r="S533" s="379" t="str">
        <f t="shared" si="631"/>
        <v>Lowanna Transfer Station</v>
      </c>
      <c r="T533" s="379" t="str">
        <f t="shared" si="632"/>
        <v>Woolgoolga Transfer Station</v>
      </c>
      <c r="U533" s="379" t="str">
        <f t="shared" si="633"/>
        <v xml:space="preserve">Englands Road Waste Management Facility </v>
      </c>
      <c r="V533" s="379">
        <f t="shared" si="634"/>
        <v>0</v>
      </c>
      <c r="W533" s="379">
        <f t="shared" si="635"/>
        <v>0</v>
      </c>
      <c r="X533" s="379">
        <f t="shared" si="636"/>
        <v>0</v>
      </c>
      <c r="Y533" s="379">
        <f t="shared" si="637"/>
        <v>0</v>
      </c>
      <c r="Z533" s="379">
        <f t="shared" si="638"/>
        <v>0</v>
      </c>
      <c r="AA533" s="379">
        <f t="shared" si="639"/>
        <v>0</v>
      </c>
      <c r="AB533" s="379">
        <f t="shared" si="640"/>
        <v>0</v>
      </c>
      <c r="AC533" s="379">
        <f t="shared" si="641"/>
        <v>0</v>
      </c>
      <c r="AD533" s="379">
        <f t="shared" si="642"/>
        <v>0</v>
      </c>
      <c r="AE533" s="379">
        <f t="shared" si="643"/>
        <v>0</v>
      </c>
      <c r="AF533" s="379">
        <f t="shared" si="644"/>
        <v>0</v>
      </c>
      <c r="AG533" s="379">
        <f t="shared" si="645"/>
        <v>0</v>
      </c>
      <c r="AH533" s="379">
        <f t="shared" si="646"/>
        <v>0</v>
      </c>
      <c r="AI533" s="379">
        <f t="shared" si="647"/>
        <v>0</v>
      </c>
      <c r="AJ533" s="379">
        <f t="shared" si="648"/>
        <v>0</v>
      </c>
      <c r="AK533" s="379">
        <f t="shared" si="649"/>
        <v>0</v>
      </c>
      <c r="AL533" s="379">
        <f t="shared" si="650"/>
        <v>0</v>
      </c>
      <c r="AM533" s="379">
        <f t="shared" si="651"/>
        <v>0</v>
      </c>
      <c r="AN533" s="490">
        <f t="shared" si="652"/>
        <v>0</v>
      </c>
      <c r="AO533" s="379">
        <f t="shared" si="653"/>
        <v>0</v>
      </c>
      <c r="AP533" s="379">
        <f t="shared" si="654"/>
        <v>0</v>
      </c>
      <c r="AQ533" s="379">
        <f t="shared" si="655"/>
        <v>0</v>
      </c>
      <c r="AR533" s="379">
        <f t="shared" si="656"/>
        <v>0</v>
      </c>
      <c r="AS533" s="379">
        <f t="shared" si="657"/>
        <v>0</v>
      </c>
      <c r="AT533" s="379">
        <f t="shared" si="658"/>
        <v>0</v>
      </c>
      <c r="AU533" s="379">
        <f t="shared" si="659"/>
        <v>0</v>
      </c>
      <c r="AV533" s="379">
        <f t="shared" si="660"/>
        <v>0</v>
      </c>
      <c r="AW533" s="379">
        <f t="shared" si="661"/>
        <v>0</v>
      </c>
      <c r="AX533" s="379">
        <f t="shared" si="662"/>
        <v>0</v>
      </c>
      <c r="AY533" s="379">
        <f t="shared" si="663"/>
        <v>0</v>
      </c>
    </row>
    <row r="534" spans="1:51" x14ac:dyDescent="0.2">
      <c r="A534" s="376">
        <v>14350</v>
      </c>
      <c r="B534" s="378" t="str">
        <f t="shared" si="616"/>
        <v>Kempsey (A)</v>
      </c>
      <c r="C534" s="377" t="str">
        <f t="shared" si="617"/>
        <v>MidWaste</v>
      </c>
      <c r="D534" s="503" t="str">
        <f t="shared" si="618"/>
        <v>R</v>
      </c>
      <c r="E534" s="503"/>
      <c r="F534"/>
      <c r="G534" s="379">
        <f t="shared" si="619"/>
        <v>29842</v>
      </c>
      <c r="H534" s="379">
        <f t="shared" si="620"/>
        <v>12979</v>
      </c>
      <c r="I534" s="379">
        <f t="shared" si="621"/>
        <v>422</v>
      </c>
      <c r="J534" s="379" t="str">
        <f t="shared" si="622"/>
        <v>Y</v>
      </c>
      <c r="K534" s="379">
        <f t="shared" si="623"/>
        <v>11871</v>
      </c>
      <c r="L534" s="379">
        <f t="shared" si="624"/>
        <v>0</v>
      </c>
      <c r="M534" s="379">
        <f t="shared" si="625"/>
        <v>11851</v>
      </c>
      <c r="N534" s="379">
        <f t="shared" si="626"/>
        <v>0</v>
      </c>
      <c r="O534" s="379">
        <f t="shared" si="627"/>
        <v>7744</v>
      </c>
      <c r="P534" s="379">
        <f t="shared" si="628"/>
        <v>0</v>
      </c>
      <c r="Q534" s="379" t="str">
        <f t="shared" si="629"/>
        <v>Y</v>
      </c>
      <c r="R534" s="379" t="str">
        <f t="shared" si="630"/>
        <v>Kempsey Waste Management Centre</v>
      </c>
      <c r="S534" s="379" t="str">
        <f t="shared" si="631"/>
        <v>South West Rocks Transfer Station</v>
      </c>
      <c r="T534" s="379" t="str">
        <f t="shared" si="632"/>
        <v>Stuarts Point Transfer Station</v>
      </c>
      <c r="U534" s="379" t="str">
        <f t="shared" si="633"/>
        <v>Bellbrook Transfer Station</v>
      </c>
      <c r="V534" s="379">
        <f t="shared" si="634"/>
        <v>0</v>
      </c>
      <c r="W534" s="379">
        <f t="shared" si="635"/>
        <v>0</v>
      </c>
      <c r="X534" s="379">
        <f t="shared" si="636"/>
        <v>0</v>
      </c>
      <c r="Y534" s="379">
        <f t="shared" si="637"/>
        <v>0</v>
      </c>
      <c r="Z534" s="379">
        <f t="shared" si="638"/>
        <v>0</v>
      </c>
      <c r="AA534" s="379">
        <f t="shared" si="639"/>
        <v>0</v>
      </c>
      <c r="AB534" s="379">
        <f t="shared" si="640"/>
        <v>0</v>
      </c>
      <c r="AC534" s="379">
        <f t="shared" si="641"/>
        <v>0</v>
      </c>
      <c r="AD534" s="379">
        <f t="shared" si="642"/>
        <v>0</v>
      </c>
      <c r="AE534" s="379">
        <f t="shared" si="643"/>
        <v>0</v>
      </c>
      <c r="AF534" s="379">
        <f t="shared" si="644"/>
        <v>0</v>
      </c>
      <c r="AG534" s="379">
        <f t="shared" si="645"/>
        <v>0</v>
      </c>
      <c r="AH534" s="379">
        <f t="shared" si="646"/>
        <v>0</v>
      </c>
      <c r="AI534" s="379">
        <f t="shared" si="647"/>
        <v>0</v>
      </c>
      <c r="AJ534" s="379">
        <f t="shared" si="648"/>
        <v>0</v>
      </c>
      <c r="AK534" s="379">
        <f t="shared" si="649"/>
        <v>0</v>
      </c>
      <c r="AL534" s="379">
        <f t="shared" si="650"/>
        <v>0</v>
      </c>
      <c r="AM534" s="379">
        <f t="shared" si="651"/>
        <v>0</v>
      </c>
      <c r="AN534" s="490">
        <f t="shared" si="652"/>
        <v>0</v>
      </c>
      <c r="AO534" s="379">
        <f t="shared" si="653"/>
        <v>0</v>
      </c>
      <c r="AP534" s="379">
        <f t="shared" si="654"/>
        <v>0</v>
      </c>
      <c r="AQ534" s="379">
        <f t="shared" si="655"/>
        <v>0</v>
      </c>
      <c r="AR534" s="379">
        <f t="shared" si="656"/>
        <v>0</v>
      </c>
      <c r="AS534" s="379">
        <f t="shared" si="657"/>
        <v>0</v>
      </c>
      <c r="AT534" s="379">
        <f t="shared" si="658"/>
        <v>0</v>
      </c>
      <c r="AU534" s="379">
        <f t="shared" si="659"/>
        <v>0</v>
      </c>
      <c r="AV534" s="379">
        <f t="shared" si="660"/>
        <v>0</v>
      </c>
      <c r="AW534" s="379">
        <f t="shared" si="661"/>
        <v>0</v>
      </c>
      <c r="AX534" s="379">
        <f t="shared" si="662"/>
        <v>0</v>
      </c>
      <c r="AY534" s="379">
        <f t="shared" si="663"/>
        <v>0</v>
      </c>
    </row>
    <row r="535" spans="1:51" x14ac:dyDescent="0.2">
      <c r="A535" s="376">
        <v>15240</v>
      </c>
      <c r="B535" s="378" t="str">
        <f t="shared" si="616"/>
        <v>Mid-Coast (A)</v>
      </c>
      <c r="C535" s="377" t="str">
        <f t="shared" si="617"/>
        <v>MidWaste</v>
      </c>
      <c r="D535" s="503" t="str">
        <f t="shared" si="618"/>
        <v>R</v>
      </c>
      <c r="E535" s="503"/>
      <c r="F535"/>
      <c r="G535" s="379">
        <f t="shared" si="619"/>
        <v>91648</v>
      </c>
      <c r="H535" s="379">
        <f t="shared" si="620"/>
        <v>66726</v>
      </c>
      <c r="I535" s="379">
        <f t="shared" si="621"/>
        <v>436.33</v>
      </c>
      <c r="J535" s="379" t="str">
        <f t="shared" si="622"/>
        <v>Y</v>
      </c>
      <c r="K535" s="379">
        <f t="shared" si="623"/>
        <v>42879</v>
      </c>
      <c r="L535" s="379">
        <f t="shared" si="624"/>
        <v>0</v>
      </c>
      <c r="M535" s="379">
        <f t="shared" si="625"/>
        <v>43218</v>
      </c>
      <c r="N535" s="379">
        <f t="shared" si="626"/>
        <v>36156</v>
      </c>
      <c r="O535" s="379">
        <f t="shared" si="627"/>
        <v>0</v>
      </c>
      <c r="P535" s="379" t="str">
        <f t="shared" si="628"/>
        <v>Y</v>
      </c>
      <c r="Q535" s="379" t="str">
        <f t="shared" si="629"/>
        <v>Y</v>
      </c>
      <c r="R535" s="379" t="str">
        <f t="shared" si="630"/>
        <v>Bucketts Way Landfill</v>
      </c>
      <c r="S535" s="379" t="str">
        <f t="shared" si="631"/>
        <v>Gloucester Landfill</v>
      </c>
      <c r="T535" s="379" t="str">
        <f t="shared" si="632"/>
        <v>Tuncurry Waste Facility</v>
      </c>
      <c r="U535" s="379" t="str">
        <f t="shared" si="633"/>
        <v>Tea Gardens Transfer Station</v>
      </c>
      <c r="V535" s="379" t="str">
        <f t="shared" si="634"/>
        <v>Bulahdelah Transfer Station</v>
      </c>
      <c r="W535" s="379" t="str">
        <f t="shared" si="635"/>
        <v>Stroud Landfill</v>
      </c>
      <c r="X535" s="379">
        <f t="shared" si="636"/>
        <v>0</v>
      </c>
      <c r="Y535" s="379">
        <f t="shared" si="637"/>
        <v>0</v>
      </c>
      <c r="Z535" s="379">
        <f t="shared" si="638"/>
        <v>0</v>
      </c>
      <c r="AA535" s="379">
        <f t="shared" si="639"/>
        <v>0</v>
      </c>
      <c r="AB535" s="379">
        <f t="shared" si="640"/>
        <v>0</v>
      </c>
      <c r="AC535" s="379">
        <f t="shared" si="641"/>
        <v>0</v>
      </c>
      <c r="AD535" s="379">
        <f t="shared" si="642"/>
        <v>0</v>
      </c>
      <c r="AE535" s="379">
        <f t="shared" si="643"/>
        <v>0</v>
      </c>
      <c r="AF535" s="379">
        <f t="shared" si="644"/>
        <v>0</v>
      </c>
      <c r="AG535" s="379">
        <f t="shared" si="645"/>
        <v>0</v>
      </c>
      <c r="AH535" s="379">
        <f t="shared" si="646"/>
        <v>0</v>
      </c>
      <c r="AI535" s="379">
        <f t="shared" si="647"/>
        <v>0</v>
      </c>
      <c r="AJ535" s="379">
        <f t="shared" si="648"/>
        <v>0</v>
      </c>
      <c r="AK535" s="379">
        <f t="shared" si="649"/>
        <v>0</v>
      </c>
      <c r="AL535" s="379">
        <f t="shared" si="650"/>
        <v>0</v>
      </c>
      <c r="AM535" s="379">
        <f t="shared" si="651"/>
        <v>0</v>
      </c>
      <c r="AN535" s="490">
        <f t="shared" si="652"/>
        <v>0</v>
      </c>
      <c r="AO535" s="379">
        <f t="shared" si="653"/>
        <v>0</v>
      </c>
      <c r="AP535" s="379">
        <f t="shared" si="654"/>
        <v>0</v>
      </c>
      <c r="AQ535" s="379">
        <f t="shared" si="655"/>
        <v>0</v>
      </c>
      <c r="AR535" s="379">
        <f t="shared" si="656"/>
        <v>0</v>
      </c>
      <c r="AS535" s="379">
        <f t="shared" si="657"/>
        <v>0</v>
      </c>
      <c r="AT535" s="379">
        <f t="shared" si="658"/>
        <v>0</v>
      </c>
      <c r="AU535" s="379">
        <f t="shared" si="659"/>
        <v>0</v>
      </c>
      <c r="AV535" s="379">
        <f t="shared" si="660"/>
        <v>0</v>
      </c>
      <c r="AW535" s="379">
        <f t="shared" si="661"/>
        <v>0</v>
      </c>
      <c r="AX535" s="379">
        <f t="shared" si="662"/>
        <v>0</v>
      </c>
      <c r="AY535" s="379">
        <f t="shared" si="663"/>
        <v>0</v>
      </c>
    </row>
    <row r="536" spans="1:51" x14ac:dyDescent="0.2">
      <c r="A536" s="376">
        <v>15700</v>
      </c>
      <c r="B536" s="378" t="str">
        <f t="shared" si="616"/>
        <v>Nambucca (A)</v>
      </c>
      <c r="C536" s="377" t="str">
        <f t="shared" si="617"/>
        <v>MidWaste</v>
      </c>
      <c r="D536" s="503" t="str">
        <f t="shared" si="618"/>
        <v>R</v>
      </c>
      <c r="E536" s="503"/>
      <c r="F536"/>
      <c r="G536" s="379">
        <f t="shared" si="619"/>
        <v>19808</v>
      </c>
      <c r="H536" s="379">
        <f t="shared" si="620"/>
        <v>8154</v>
      </c>
      <c r="I536" s="379">
        <f t="shared" si="621"/>
        <v>527</v>
      </c>
      <c r="J536" s="379" t="str">
        <f t="shared" si="622"/>
        <v>Y</v>
      </c>
      <c r="K536" s="379">
        <f t="shared" si="623"/>
        <v>7625</v>
      </c>
      <c r="L536" s="379" t="str">
        <f t="shared" si="624"/>
        <v>Y</v>
      </c>
      <c r="M536" s="379">
        <f t="shared" si="625"/>
        <v>7625</v>
      </c>
      <c r="N536" s="379">
        <f t="shared" si="626"/>
        <v>0</v>
      </c>
      <c r="O536" s="379">
        <f t="shared" si="627"/>
        <v>7625</v>
      </c>
      <c r="P536" s="379" t="str">
        <f t="shared" si="628"/>
        <v>Y</v>
      </c>
      <c r="Q536" s="379" t="str">
        <f t="shared" si="629"/>
        <v>Y</v>
      </c>
      <c r="R536" s="379" t="str">
        <f t="shared" si="630"/>
        <v>Nambucca Waste Facility</v>
      </c>
      <c r="S536" s="379">
        <f t="shared" si="631"/>
        <v>0</v>
      </c>
      <c r="T536" s="379">
        <f t="shared" si="632"/>
        <v>0</v>
      </c>
      <c r="U536" s="379">
        <f t="shared" si="633"/>
        <v>0</v>
      </c>
      <c r="V536" s="379">
        <f t="shared" si="634"/>
        <v>0</v>
      </c>
      <c r="W536" s="379">
        <f t="shared" si="635"/>
        <v>0</v>
      </c>
      <c r="X536" s="379">
        <f t="shared" si="636"/>
        <v>0</v>
      </c>
      <c r="Y536" s="379">
        <f t="shared" si="637"/>
        <v>0</v>
      </c>
      <c r="Z536" s="379">
        <f t="shared" si="638"/>
        <v>0</v>
      </c>
      <c r="AA536" s="379">
        <f t="shared" si="639"/>
        <v>0</v>
      </c>
      <c r="AB536" s="379">
        <f t="shared" si="640"/>
        <v>0</v>
      </c>
      <c r="AC536" s="379">
        <f t="shared" si="641"/>
        <v>0</v>
      </c>
      <c r="AD536" s="379">
        <f t="shared" si="642"/>
        <v>0</v>
      </c>
      <c r="AE536" s="379">
        <f t="shared" si="643"/>
        <v>0</v>
      </c>
      <c r="AF536" s="379">
        <f t="shared" si="644"/>
        <v>0</v>
      </c>
      <c r="AG536" s="379">
        <f t="shared" si="645"/>
        <v>0</v>
      </c>
      <c r="AH536" s="379">
        <f t="shared" si="646"/>
        <v>0</v>
      </c>
      <c r="AI536" s="379">
        <f t="shared" si="647"/>
        <v>0</v>
      </c>
      <c r="AJ536" s="379">
        <f t="shared" si="648"/>
        <v>0</v>
      </c>
      <c r="AK536" s="379">
        <f t="shared" si="649"/>
        <v>0</v>
      </c>
      <c r="AL536" s="379">
        <f t="shared" si="650"/>
        <v>0</v>
      </c>
      <c r="AM536" s="379">
        <f t="shared" si="651"/>
        <v>0</v>
      </c>
      <c r="AN536" s="490">
        <f t="shared" si="652"/>
        <v>0</v>
      </c>
      <c r="AO536" s="379">
        <f t="shared" si="653"/>
        <v>0</v>
      </c>
      <c r="AP536" s="379">
        <f t="shared" si="654"/>
        <v>0</v>
      </c>
      <c r="AQ536" s="379">
        <f t="shared" si="655"/>
        <v>0</v>
      </c>
      <c r="AR536" s="379">
        <f t="shared" si="656"/>
        <v>0</v>
      </c>
      <c r="AS536" s="379">
        <f t="shared" si="657"/>
        <v>0</v>
      </c>
      <c r="AT536" s="379">
        <f t="shared" si="658"/>
        <v>0</v>
      </c>
      <c r="AU536" s="379">
        <f t="shared" si="659"/>
        <v>0</v>
      </c>
      <c r="AV536" s="379">
        <f t="shared" si="660"/>
        <v>0</v>
      </c>
      <c r="AW536" s="379">
        <f t="shared" si="661"/>
        <v>0</v>
      </c>
      <c r="AX536" s="379">
        <f t="shared" si="662"/>
        <v>0</v>
      </c>
      <c r="AY536" s="379">
        <f t="shared" si="663"/>
        <v>0</v>
      </c>
    </row>
    <row r="537" spans="1:51" ht="13.5" thickBot="1" x14ac:dyDescent="0.25">
      <c r="A537" s="376">
        <v>16380</v>
      </c>
      <c r="B537" s="378" t="str">
        <f t="shared" si="616"/>
        <v>Port Macquarie-Hastings (A)</v>
      </c>
      <c r="C537" s="377" t="str">
        <f t="shared" si="617"/>
        <v>MidWaste</v>
      </c>
      <c r="D537" s="503" t="str">
        <f t="shared" si="618"/>
        <v>R</v>
      </c>
      <c r="E537" s="503"/>
      <c r="F537"/>
      <c r="G537" s="379">
        <f t="shared" si="619"/>
        <v>78967</v>
      </c>
      <c r="H537" s="379">
        <f t="shared" si="620"/>
        <v>34204</v>
      </c>
      <c r="I537" s="379">
        <f t="shared" si="621"/>
        <v>425</v>
      </c>
      <c r="J537" s="379" t="str">
        <f t="shared" si="622"/>
        <v>Y</v>
      </c>
      <c r="K537" s="379">
        <f t="shared" si="623"/>
        <v>29476</v>
      </c>
      <c r="L537" s="379">
        <f t="shared" si="624"/>
        <v>0</v>
      </c>
      <c r="M537" s="379">
        <f t="shared" si="625"/>
        <v>30095</v>
      </c>
      <c r="N537" s="379">
        <f t="shared" si="626"/>
        <v>0</v>
      </c>
      <c r="O537" s="379">
        <f t="shared" si="627"/>
        <v>28599</v>
      </c>
      <c r="P537" s="379" t="str">
        <f t="shared" si="628"/>
        <v>Y</v>
      </c>
      <c r="Q537" s="379" t="str">
        <f t="shared" si="629"/>
        <v>Y</v>
      </c>
      <c r="R537" s="379" t="str">
        <f t="shared" si="630"/>
        <v>Cairncross Waste Management Facility</v>
      </c>
      <c r="S537" s="379" t="str">
        <f t="shared" si="631"/>
        <v>Port Macquarie Waste Management Facility (transfer station)</v>
      </c>
      <c r="T537" s="379" t="str">
        <f t="shared" si="632"/>
        <v>Wauchope Transfer station</v>
      </c>
      <c r="U537" s="379" t="str">
        <f t="shared" si="633"/>
        <v>Kew Transfer station</v>
      </c>
      <c r="V537" s="379" t="str">
        <f t="shared" si="634"/>
        <v>Dunbogan Landfill</v>
      </c>
      <c r="W537" s="379" t="str">
        <f t="shared" si="635"/>
        <v>Comboyne drop off</v>
      </c>
      <c r="X537" s="379">
        <f t="shared" si="636"/>
        <v>0</v>
      </c>
      <c r="Y537" s="379">
        <f t="shared" si="637"/>
        <v>0</v>
      </c>
      <c r="Z537" s="379">
        <f t="shared" si="638"/>
        <v>0</v>
      </c>
      <c r="AA537" s="379">
        <f t="shared" si="639"/>
        <v>0</v>
      </c>
      <c r="AB537" s="379">
        <f t="shared" si="640"/>
        <v>0</v>
      </c>
      <c r="AC537" s="379">
        <f t="shared" si="641"/>
        <v>0</v>
      </c>
      <c r="AD537" s="379">
        <f t="shared" si="642"/>
        <v>0</v>
      </c>
      <c r="AE537" s="379">
        <f t="shared" si="643"/>
        <v>0</v>
      </c>
      <c r="AF537" s="379">
        <f t="shared" si="644"/>
        <v>0</v>
      </c>
      <c r="AG537" s="379">
        <f t="shared" si="645"/>
        <v>0</v>
      </c>
      <c r="AH537" s="379">
        <f t="shared" si="646"/>
        <v>0</v>
      </c>
      <c r="AI537" s="379">
        <f t="shared" si="647"/>
        <v>0</v>
      </c>
      <c r="AJ537" s="379">
        <f t="shared" si="648"/>
        <v>0</v>
      </c>
      <c r="AK537" s="379">
        <f t="shared" si="649"/>
        <v>0</v>
      </c>
      <c r="AL537" s="379">
        <f t="shared" si="650"/>
        <v>0</v>
      </c>
      <c r="AM537" s="379">
        <f t="shared" si="651"/>
        <v>0</v>
      </c>
      <c r="AN537" s="490">
        <f t="shared" si="652"/>
        <v>0</v>
      </c>
      <c r="AO537" s="379">
        <f t="shared" si="653"/>
        <v>0</v>
      </c>
      <c r="AP537" s="379">
        <f t="shared" si="654"/>
        <v>0</v>
      </c>
      <c r="AQ537" s="379">
        <f t="shared" si="655"/>
        <v>0</v>
      </c>
      <c r="AR537" s="379">
        <f t="shared" si="656"/>
        <v>0</v>
      </c>
      <c r="AS537" s="379">
        <f t="shared" si="657"/>
        <v>0</v>
      </c>
      <c r="AT537" s="379">
        <f t="shared" si="658"/>
        <v>0</v>
      </c>
      <c r="AU537" s="379">
        <f t="shared" si="659"/>
        <v>0</v>
      </c>
      <c r="AV537" s="379">
        <f t="shared" si="660"/>
        <v>0</v>
      </c>
      <c r="AW537" s="379">
        <f t="shared" si="661"/>
        <v>0</v>
      </c>
      <c r="AX537" s="379">
        <f t="shared" si="662"/>
        <v>0</v>
      </c>
      <c r="AY537" s="379">
        <f t="shared" si="663"/>
        <v>0</v>
      </c>
    </row>
    <row r="538" spans="1:51" ht="13.5" thickTop="1" x14ac:dyDescent="0.2">
      <c r="A538" s="380"/>
      <c r="B538" s="380"/>
      <c r="C538" s="380" t="s">
        <v>264</v>
      </c>
      <c r="D538" s="380"/>
      <c r="E538" s="484"/>
      <c r="F538" s="381"/>
      <c r="G538" s="382">
        <f t="shared" ref="G538:AY538" si="664">COUNTIF(G532:G537,"&gt;0")</f>
        <v>6</v>
      </c>
      <c r="H538" s="382">
        <f t="shared" si="664"/>
        <v>6</v>
      </c>
      <c r="I538" s="382">
        <f t="shared" si="664"/>
        <v>6</v>
      </c>
      <c r="J538" s="382">
        <f t="shared" si="664"/>
        <v>0</v>
      </c>
      <c r="K538" s="382">
        <f t="shared" si="664"/>
        <v>6</v>
      </c>
      <c r="L538" s="382">
        <f t="shared" si="664"/>
        <v>0</v>
      </c>
      <c r="M538" s="382">
        <f t="shared" si="664"/>
        <v>6</v>
      </c>
      <c r="N538" s="382">
        <f t="shared" si="664"/>
        <v>1</v>
      </c>
      <c r="O538" s="382">
        <f t="shared" si="664"/>
        <v>5</v>
      </c>
      <c r="P538" s="382">
        <f t="shared" si="664"/>
        <v>0</v>
      </c>
      <c r="Q538" s="382">
        <f t="shared" si="664"/>
        <v>0</v>
      </c>
      <c r="R538" s="382">
        <f t="shared" si="664"/>
        <v>0</v>
      </c>
      <c r="S538" s="382">
        <f t="shared" si="664"/>
        <v>0</v>
      </c>
      <c r="T538" s="382">
        <f t="shared" si="664"/>
        <v>0</v>
      </c>
      <c r="U538" s="382">
        <f t="shared" si="664"/>
        <v>0</v>
      </c>
      <c r="V538" s="382">
        <f t="shared" si="664"/>
        <v>0</v>
      </c>
      <c r="W538" s="382">
        <f t="shared" si="664"/>
        <v>0</v>
      </c>
      <c r="X538" s="382">
        <f t="shared" si="664"/>
        <v>0</v>
      </c>
      <c r="Y538" s="382">
        <f t="shared" si="664"/>
        <v>0</v>
      </c>
      <c r="Z538" s="382">
        <f t="shared" si="664"/>
        <v>0</v>
      </c>
      <c r="AA538" s="382">
        <f t="shared" si="664"/>
        <v>0</v>
      </c>
      <c r="AB538" s="382">
        <f t="shared" si="664"/>
        <v>0</v>
      </c>
      <c r="AC538" s="382">
        <f t="shared" si="664"/>
        <v>0</v>
      </c>
      <c r="AD538" s="382">
        <f t="shared" si="664"/>
        <v>0</v>
      </c>
      <c r="AE538" s="382">
        <f t="shared" si="664"/>
        <v>0</v>
      </c>
      <c r="AF538" s="382">
        <f t="shared" si="664"/>
        <v>0</v>
      </c>
      <c r="AG538" s="382">
        <f t="shared" si="664"/>
        <v>0</v>
      </c>
      <c r="AH538" s="382">
        <f t="shared" si="664"/>
        <v>0</v>
      </c>
      <c r="AI538" s="382">
        <f t="shared" si="664"/>
        <v>0</v>
      </c>
      <c r="AJ538" s="382">
        <f t="shared" si="664"/>
        <v>0</v>
      </c>
      <c r="AK538" s="382">
        <f t="shared" si="664"/>
        <v>0</v>
      </c>
      <c r="AL538" s="382">
        <f t="shared" si="664"/>
        <v>0</v>
      </c>
      <c r="AM538" s="382">
        <f t="shared" si="664"/>
        <v>0</v>
      </c>
      <c r="AN538" s="485">
        <f t="shared" si="664"/>
        <v>0</v>
      </c>
      <c r="AO538" s="382">
        <f t="shared" si="664"/>
        <v>0</v>
      </c>
      <c r="AP538" s="382">
        <f t="shared" si="664"/>
        <v>0</v>
      </c>
      <c r="AQ538" s="382">
        <f t="shared" si="664"/>
        <v>0</v>
      </c>
      <c r="AR538" s="382">
        <f t="shared" si="664"/>
        <v>0</v>
      </c>
      <c r="AS538" s="382">
        <f t="shared" si="664"/>
        <v>0</v>
      </c>
      <c r="AT538" s="382">
        <f t="shared" si="664"/>
        <v>0</v>
      </c>
      <c r="AU538" s="382">
        <f t="shared" si="664"/>
        <v>0</v>
      </c>
      <c r="AV538" s="382">
        <f t="shared" si="664"/>
        <v>0</v>
      </c>
      <c r="AW538" s="382">
        <f t="shared" si="664"/>
        <v>0</v>
      </c>
      <c r="AX538" s="382">
        <f t="shared" si="664"/>
        <v>0</v>
      </c>
      <c r="AY538" s="382">
        <f t="shared" si="664"/>
        <v>0</v>
      </c>
    </row>
    <row r="539" spans="1:51" x14ac:dyDescent="0.2">
      <c r="A539" s="376"/>
      <c r="B539" s="376"/>
      <c r="C539" s="376" t="s">
        <v>265</v>
      </c>
      <c r="D539" s="376"/>
      <c r="E539" s="488"/>
      <c r="F539" s="384"/>
      <c r="G539" s="385">
        <f t="shared" ref="G539:AY539" si="665">SUM(G532:G537)</f>
        <v>307223</v>
      </c>
      <c r="H539" s="385">
        <f t="shared" si="665"/>
        <v>157294</v>
      </c>
      <c r="I539" s="385">
        <f t="shared" si="665"/>
        <v>3105.33</v>
      </c>
      <c r="J539" s="385">
        <f t="shared" si="665"/>
        <v>0</v>
      </c>
      <c r="K539" s="385">
        <f t="shared" si="665"/>
        <v>127948</v>
      </c>
      <c r="L539" s="385">
        <f t="shared" si="665"/>
        <v>0</v>
      </c>
      <c r="M539" s="385">
        <f t="shared" si="665"/>
        <v>124041</v>
      </c>
      <c r="N539" s="385">
        <f t="shared" si="665"/>
        <v>36156</v>
      </c>
      <c r="O539" s="385">
        <f t="shared" si="665"/>
        <v>80092</v>
      </c>
      <c r="P539" s="385">
        <f t="shared" si="665"/>
        <v>0</v>
      </c>
      <c r="Q539" s="385">
        <f t="shared" si="665"/>
        <v>0</v>
      </c>
      <c r="R539" s="385">
        <f t="shared" si="665"/>
        <v>0</v>
      </c>
      <c r="S539" s="385">
        <f t="shared" si="665"/>
        <v>0</v>
      </c>
      <c r="T539" s="385">
        <f t="shared" si="665"/>
        <v>0</v>
      </c>
      <c r="U539" s="385">
        <f t="shared" si="665"/>
        <v>0</v>
      </c>
      <c r="V539" s="385">
        <f t="shared" si="665"/>
        <v>0</v>
      </c>
      <c r="W539" s="385">
        <f t="shared" si="665"/>
        <v>0</v>
      </c>
      <c r="X539" s="385">
        <f t="shared" si="665"/>
        <v>0</v>
      </c>
      <c r="Y539" s="385">
        <f t="shared" si="665"/>
        <v>0</v>
      </c>
      <c r="Z539" s="385">
        <f t="shared" si="665"/>
        <v>0</v>
      </c>
      <c r="AA539" s="385">
        <f t="shared" si="665"/>
        <v>0</v>
      </c>
      <c r="AB539" s="385">
        <f t="shared" si="665"/>
        <v>0</v>
      </c>
      <c r="AC539" s="385">
        <f t="shared" si="665"/>
        <v>0</v>
      </c>
      <c r="AD539" s="385">
        <f t="shared" si="665"/>
        <v>0</v>
      </c>
      <c r="AE539" s="385">
        <f t="shared" si="665"/>
        <v>0</v>
      </c>
      <c r="AF539" s="385">
        <f t="shared" si="665"/>
        <v>0</v>
      </c>
      <c r="AG539" s="385">
        <f t="shared" si="665"/>
        <v>0</v>
      </c>
      <c r="AH539" s="385">
        <f t="shared" si="665"/>
        <v>0</v>
      </c>
      <c r="AI539" s="385">
        <f t="shared" si="665"/>
        <v>0</v>
      </c>
      <c r="AJ539" s="385">
        <f t="shared" si="665"/>
        <v>0</v>
      </c>
      <c r="AK539" s="385">
        <f t="shared" si="665"/>
        <v>0</v>
      </c>
      <c r="AL539" s="385">
        <f t="shared" si="665"/>
        <v>0</v>
      </c>
      <c r="AM539" s="385">
        <f t="shared" si="665"/>
        <v>0</v>
      </c>
      <c r="AN539" s="489">
        <f t="shared" si="665"/>
        <v>0</v>
      </c>
      <c r="AO539" s="385">
        <f t="shared" si="665"/>
        <v>0</v>
      </c>
      <c r="AP539" s="385">
        <f t="shared" si="665"/>
        <v>0</v>
      </c>
      <c r="AQ539" s="385">
        <f t="shared" si="665"/>
        <v>0</v>
      </c>
      <c r="AR539" s="385">
        <f t="shared" si="665"/>
        <v>0</v>
      </c>
      <c r="AS539" s="385">
        <f t="shared" si="665"/>
        <v>0</v>
      </c>
      <c r="AT539" s="385">
        <f t="shared" si="665"/>
        <v>0</v>
      </c>
      <c r="AU539" s="385">
        <f t="shared" si="665"/>
        <v>0</v>
      </c>
      <c r="AV539" s="385">
        <f t="shared" si="665"/>
        <v>0</v>
      </c>
      <c r="AW539" s="385">
        <f t="shared" si="665"/>
        <v>0</v>
      </c>
      <c r="AX539" s="385">
        <f t="shared" si="665"/>
        <v>0</v>
      </c>
      <c r="AY539" s="385">
        <f t="shared" si="665"/>
        <v>0</v>
      </c>
    </row>
    <row r="540" spans="1:51" x14ac:dyDescent="0.2">
      <c r="A540" s="376"/>
      <c r="B540" s="376"/>
      <c r="C540" s="376" t="s">
        <v>266</v>
      </c>
      <c r="D540" s="376"/>
      <c r="E540" s="488"/>
      <c r="F540" s="384"/>
      <c r="G540" s="379">
        <f t="shared" ref="G540:AY540" si="666">MIN(G532:G537)</f>
        <v>13066</v>
      </c>
      <c r="H540" s="379">
        <f t="shared" si="666"/>
        <v>5911</v>
      </c>
      <c r="I540" s="379">
        <f t="shared" si="666"/>
        <v>422</v>
      </c>
      <c r="J540" s="379">
        <f t="shared" si="666"/>
        <v>0</v>
      </c>
      <c r="K540" s="379">
        <f t="shared" si="666"/>
        <v>4045</v>
      </c>
      <c r="L540" s="379">
        <f t="shared" si="666"/>
        <v>0</v>
      </c>
      <c r="M540" s="379">
        <f t="shared" si="666"/>
        <v>4045</v>
      </c>
      <c r="N540" s="379">
        <f t="shared" si="666"/>
        <v>0</v>
      </c>
      <c r="O540" s="379">
        <f t="shared" si="666"/>
        <v>0</v>
      </c>
      <c r="P540" s="379">
        <f t="shared" si="666"/>
        <v>0</v>
      </c>
      <c r="Q540" s="379">
        <f t="shared" si="666"/>
        <v>0</v>
      </c>
      <c r="R540" s="379">
        <f t="shared" si="666"/>
        <v>0</v>
      </c>
      <c r="S540" s="379">
        <f t="shared" si="666"/>
        <v>0</v>
      </c>
      <c r="T540" s="379">
        <f t="shared" si="666"/>
        <v>0</v>
      </c>
      <c r="U540" s="379">
        <f t="shared" si="666"/>
        <v>0</v>
      </c>
      <c r="V540" s="379">
        <f t="shared" si="666"/>
        <v>0</v>
      </c>
      <c r="W540" s="379">
        <f t="shared" si="666"/>
        <v>0</v>
      </c>
      <c r="X540" s="379">
        <f t="shared" si="666"/>
        <v>0</v>
      </c>
      <c r="Y540" s="379">
        <f t="shared" si="666"/>
        <v>0</v>
      </c>
      <c r="Z540" s="379">
        <f t="shared" si="666"/>
        <v>0</v>
      </c>
      <c r="AA540" s="379">
        <f t="shared" si="666"/>
        <v>0</v>
      </c>
      <c r="AB540" s="379">
        <f t="shared" si="666"/>
        <v>0</v>
      </c>
      <c r="AC540" s="379">
        <f t="shared" si="666"/>
        <v>0</v>
      </c>
      <c r="AD540" s="379">
        <f t="shared" si="666"/>
        <v>0</v>
      </c>
      <c r="AE540" s="379">
        <f t="shared" si="666"/>
        <v>0</v>
      </c>
      <c r="AF540" s="379">
        <f t="shared" si="666"/>
        <v>0</v>
      </c>
      <c r="AG540" s="379">
        <f t="shared" si="666"/>
        <v>0</v>
      </c>
      <c r="AH540" s="379">
        <f t="shared" si="666"/>
        <v>0</v>
      </c>
      <c r="AI540" s="379">
        <f t="shared" si="666"/>
        <v>0</v>
      </c>
      <c r="AJ540" s="379">
        <f t="shared" si="666"/>
        <v>0</v>
      </c>
      <c r="AK540" s="379">
        <f t="shared" si="666"/>
        <v>0</v>
      </c>
      <c r="AL540" s="379">
        <f t="shared" si="666"/>
        <v>0</v>
      </c>
      <c r="AM540" s="379">
        <f t="shared" si="666"/>
        <v>0</v>
      </c>
      <c r="AN540" s="490">
        <f t="shared" si="666"/>
        <v>0</v>
      </c>
      <c r="AO540" s="379">
        <f t="shared" si="666"/>
        <v>0</v>
      </c>
      <c r="AP540" s="379">
        <f t="shared" si="666"/>
        <v>0</v>
      </c>
      <c r="AQ540" s="379">
        <f t="shared" si="666"/>
        <v>0</v>
      </c>
      <c r="AR540" s="379">
        <f t="shared" si="666"/>
        <v>0</v>
      </c>
      <c r="AS540" s="379">
        <f t="shared" si="666"/>
        <v>0</v>
      </c>
      <c r="AT540" s="379">
        <f t="shared" si="666"/>
        <v>0</v>
      </c>
      <c r="AU540" s="379">
        <f t="shared" si="666"/>
        <v>0</v>
      </c>
      <c r="AV540" s="379">
        <f t="shared" si="666"/>
        <v>0</v>
      </c>
      <c r="AW540" s="379">
        <f t="shared" si="666"/>
        <v>0</v>
      </c>
      <c r="AX540" s="379">
        <f t="shared" si="666"/>
        <v>0</v>
      </c>
      <c r="AY540" s="379">
        <f t="shared" si="666"/>
        <v>0</v>
      </c>
    </row>
    <row r="541" spans="1:51" x14ac:dyDescent="0.2">
      <c r="A541" s="376"/>
      <c r="B541" s="376"/>
      <c r="C541" s="376" t="s">
        <v>267</v>
      </c>
      <c r="D541" s="376"/>
      <c r="E541" s="488"/>
      <c r="F541" s="384"/>
      <c r="G541" s="379">
        <f t="shared" ref="G541:AY541" si="667">MAX(G532:G537)</f>
        <v>91648</v>
      </c>
      <c r="H541" s="379">
        <f t="shared" si="667"/>
        <v>66726</v>
      </c>
      <c r="I541" s="379">
        <f t="shared" si="667"/>
        <v>659</v>
      </c>
      <c r="J541" s="379">
        <f t="shared" si="667"/>
        <v>0</v>
      </c>
      <c r="K541" s="379">
        <f t="shared" si="667"/>
        <v>42879</v>
      </c>
      <c r="L541" s="379">
        <f t="shared" si="667"/>
        <v>0</v>
      </c>
      <c r="M541" s="379">
        <f t="shared" si="667"/>
        <v>43218</v>
      </c>
      <c r="N541" s="379">
        <f t="shared" si="667"/>
        <v>36156</v>
      </c>
      <c r="O541" s="379">
        <f t="shared" si="667"/>
        <v>32079</v>
      </c>
      <c r="P541" s="379">
        <f t="shared" si="667"/>
        <v>0</v>
      </c>
      <c r="Q541" s="379">
        <f t="shared" si="667"/>
        <v>0</v>
      </c>
      <c r="R541" s="379">
        <f t="shared" si="667"/>
        <v>0</v>
      </c>
      <c r="S541" s="379">
        <f t="shared" si="667"/>
        <v>0</v>
      </c>
      <c r="T541" s="379">
        <f t="shared" si="667"/>
        <v>0</v>
      </c>
      <c r="U541" s="379">
        <f t="shared" si="667"/>
        <v>0</v>
      </c>
      <c r="V541" s="379">
        <f t="shared" si="667"/>
        <v>0</v>
      </c>
      <c r="W541" s="379">
        <f t="shared" si="667"/>
        <v>0</v>
      </c>
      <c r="X541" s="379">
        <f t="shared" si="667"/>
        <v>0</v>
      </c>
      <c r="Y541" s="379">
        <f t="shared" si="667"/>
        <v>0</v>
      </c>
      <c r="Z541" s="379">
        <f t="shared" si="667"/>
        <v>0</v>
      </c>
      <c r="AA541" s="379">
        <f t="shared" si="667"/>
        <v>0</v>
      </c>
      <c r="AB541" s="379">
        <f t="shared" si="667"/>
        <v>0</v>
      </c>
      <c r="AC541" s="379">
        <f t="shared" si="667"/>
        <v>0</v>
      </c>
      <c r="AD541" s="379">
        <f t="shared" si="667"/>
        <v>0</v>
      </c>
      <c r="AE541" s="379">
        <f t="shared" si="667"/>
        <v>0</v>
      </c>
      <c r="AF541" s="379">
        <f t="shared" si="667"/>
        <v>0</v>
      </c>
      <c r="AG541" s="379">
        <f t="shared" si="667"/>
        <v>0</v>
      </c>
      <c r="AH541" s="379">
        <f t="shared" si="667"/>
        <v>0</v>
      </c>
      <c r="AI541" s="379">
        <f t="shared" si="667"/>
        <v>0</v>
      </c>
      <c r="AJ541" s="379">
        <f t="shared" si="667"/>
        <v>0</v>
      </c>
      <c r="AK541" s="379">
        <f t="shared" si="667"/>
        <v>0</v>
      </c>
      <c r="AL541" s="379">
        <f t="shared" si="667"/>
        <v>0</v>
      </c>
      <c r="AM541" s="379">
        <f t="shared" si="667"/>
        <v>0</v>
      </c>
      <c r="AN541" s="490">
        <f t="shared" si="667"/>
        <v>0</v>
      </c>
      <c r="AO541" s="379">
        <f t="shared" si="667"/>
        <v>0</v>
      </c>
      <c r="AP541" s="379">
        <f t="shared" si="667"/>
        <v>0</v>
      </c>
      <c r="AQ541" s="379">
        <f t="shared" si="667"/>
        <v>0</v>
      </c>
      <c r="AR541" s="379">
        <f t="shared" si="667"/>
        <v>0</v>
      </c>
      <c r="AS541" s="379">
        <f t="shared" si="667"/>
        <v>0</v>
      </c>
      <c r="AT541" s="379">
        <f t="shared" si="667"/>
        <v>0</v>
      </c>
      <c r="AU541" s="379">
        <f t="shared" si="667"/>
        <v>0</v>
      </c>
      <c r="AV541" s="379">
        <f t="shared" si="667"/>
        <v>0</v>
      </c>
      <c r="AW541" s="379">
        <f t="shared" si="667"/>
        <v>0</v>
      </c>
      <c r="AX541" s="379">
        <f t="shared" si="667"/>
        <v>0</v>
      </c>
      <c r="AY541" s="379">
        <f t="shared" si="667"/>
        <v>0</v>
      </c>
    </row>
    <row r="542" spans="1:51" x14ac:dyDescent="0.2">
      <c r="A542" s="376"/>
      <c r="B542" s="376"/>
      <c r="C542" s="376" t="s">
        <v>268</v>
      </c>
      <c r="D542" s="376"/>
      <c r="E542" s="488"/>
      <c r="F542" s="384"/>
      <c r="G542" s="379">
        <f t="shared" ref="G542:AY542" si="668">AVERAGE(G532:G537)</f>
        <v>51203.833333333336</v>
      </c>
      <c r="H542" s="379">
        <f t="shared" si="668"/>
        <v>26215.666666666668</v>
      </c>
      <c r="I542" s="379">
        <f t="shared" si="668"/>
        <v>517.55499999999995</v>
      </c>
      <c r="J542" s="379" t="e">
        <f t="shared" si="668"/>
        <v>#DIV/0!</v>
      </c>
      <c r="K542" s="379">
        <f t="shared" si="668"/>
        <v>21324.666666666668</v>
      </c>
      <c r="L542" s="379">
        <f t="shared" si="668"/>
        <v>0</v>
      </c>
      <c r="M542" s="379">
        <f t="shared" si="668"/>
        <v>20673.5</v>
      </c>
      <c r="N542" s="379">
        <f t="shared" si="668"/>
        <v>6026</v>
      </c>
      <c r="O542" s="379">
        <f t="shared" si="668"/>
        <v>13348.666666666666</v>
      </c>
      <c r="P542" s="379">
        <f t="shared" si="668"/>
        <v>0</v>
      </c>
      <c r="Q542" s="379" t="e">
        <f t="shared" si="668"/>
        <v>#DIV/0!</v>
      </c>
      <c r="R542" s="379" t="e">
        <f t="shared" si="668"/>
        <v>#DIV/0!</v>
      </c>
      <c r="S542" s="379">
        <f t="shared" si="668"/>
        <v>0</v>
      </c>
      <c r="T542" s="379">
        <f t="shared" si="668"/>
        <v>0</v>
      </c>
      <c r="U542" s="379">
        <f t="shared" si="668"/>
        <v>0</v>
      </c>
      <c r="V542" s="379">
        <f t="shared" si="668"/>
        <v>0</v>
      </c>
      <c r="W542" s="379">
        <f t="shared" si="668"/>
        <v>0</v>
      </c>
      <c r="X542" s="379">
        <f t="shared" si="668"/>
        <v>0</v>
      </c>
      <c r="Y542" s="379">
        <f t="shared" si="668"/>
        <v>0</v>
      </c>
      <c r="Z542" s="379">
        <f t="shared" si="668"/>
        <v>0</v>
      </c>
      <c r="AA542" s="379">
        <f t="shared" si="668"/>
        <v>0</v>
      </c>
      <c r="AB542" s="379">
        <f t="shared" si="668"/>
        <v>0</v>
      </c>
      <c r="AC542" s="379">
        <f t="shared" si="668"/>
        <v>0</v>
      </c>
      <c r="AD542" s="379">
        <f t="shared" si="668"/>
        <v>0</v>
      </c>
      <c r="AE542" s="379">
        <f t="shared" si="668"/>
        <v>0</v>
      </c>
      <c r="AF542" s="379">
        <f t="shared" si="668"/>
        <v>0</v>
      </c>
      <c r="AG542" s="379">
        <f t="shared" si="668"/>
        <v>0</v>
      </c>
      <c r="AH542" s="379">
        <f t="shared" si="668"/>
        <v>0</v>
      </c>
      <c r="AI542" s="379">
        <f t="shared" si="668"/>
        <v>0</v>
      </c>
      <c r="AJ542" s="379">
        <f t="shared" si="668"/>
        <v>0</v>
      </c>
      <c r="AK542" s="379">
        <f t="shared" si="668"/>
        <v>0</v>
      </c>
      <c r="AL542" s="379">
        <f t="shared" si="668"/>
        <v>0</v>
      </c>
      <c r="AM542" s="379">
        <f t="shared" si="668"/>
        <v>0</v>
      </c>
      <c r="AN542" s="490">
        <f t="shared" si="668"/>
        <v>0</v>
      </c>
      <c r="AO542" s="379">
        <f t="shared" si="668"/>
        <v>0</v>
      </c>
      <c r="AP542" s="379">
        <f t="shared" si="668"/>
        <v>0</v>
      </c>
      <c r="AQ542" s="379">
        <f t="shared" si="668"/>
        <v>0</v>
      </c>
      <c r="AR542" s="379">
        <f t="shared" si="668"/>
        <v>0</v>
      </c>
      <c r="AS542" s="379">
        <f t="shared" si="668"/>
        <v>0</v>
      </c>
      <c r="AT542" s="379">
        <f t="shared" si="668"/>
        <v>0</v>
      </c>
      <c r="AU542" s="379">
        <f t="shared" si="668"/>
        <v>0</v>
      </c>
      <c r="AV542" s="379">
        <f t="shared" si="668"/>
        <v>0</v>
      </c>
      <c r="AW542" s="379">
        <f t="shared" si="668"/>
        <v>0</v>
      </c>
      <c r="AX542" s="379">
        <f t="shared" si="668"/>
        <v>0</v>
      </c>
      <c r="AY542" s="379">
        <f t="shared" si="668"/>
        <v>0</v>
      </c>
    </row>
    <row r="543" spans="1:51" ht="13.5" thickBot="1" x14ac:dyDescent="0.25">
      <c r="A543" s="386"/>
      <c r="B543" s="386"/>
      <c r="C543" s="386" t="s">
        <v>269</v>
      </c>
      <c r="D543" s="386"/>
      <c r="E543" s="491"/>
      <c r="F543" s="384"/>
      <c r="G543" s="388">
        <f t="shared" ref="G543:AY543" si="669">MEDIAN(G532:G537)</f>
        <v>51867</v>
      </c>
      <c r="H543" s="388">
        <f t="shared" si="669"/>
        <v>21149.5</v>
      </c>
      <c r="I543" s="388">
        <f t="shared" si="669"/>
        <v>481.66499999999996</v>
      </c>
      <c r="J543" s="388" t="e">
        <f t="shared" si="669"/>
        <v>#NUM!</v>
      </c>
      <c r="K543" s="388">
        <f t="shared" si="669"/>
        <v>20673.5</v>
      </c>
      <c r="L543" s="388">
        <f t="shared" si="669"/>
        <v>0</v>
      </c>
      <c r="M543" s="388">
        <f t="shared" si="669"/>
        <v>19529</v>
      </c>
      <c r="N543" s="388">
        <f t="shared" si="669"/>
        <v>0</v>
      </c>
      <c r="O543" s="388">
        <f t="shared" si="669"/>
        <v>7684.5</v>
      </c>
      <c r="P543" s="388">
        <f t="shared" si="669"/>
        <v>0</v>
      </c>
      <c r="Q543" s="388" t="e">
        <f t="shared" si="669"/>
        <v>#NUM!</v>
      </c>
      <c r="R543" s="388" t="e">
        <f t="shared" si="669"/>
        <v>#NUM!</v>
      </c>
      <c r="S543" s="388">
        <f t="shared" si="669"/>
        <v>0</v>
      </c>
      <c r="T543" s="388">
        <f t="shared" si="669"/>
        <v>0</v>
      </c>
      <c r="U543" s="388">
        <f t="shared" si="669"/>
        <v>0</v>
      </c>
      <c r="V543" s="388">
        <f t="shared" si="669"/>
        <v>0</v>
      </c>
      <c r="W543" s="388">
        <f t="shared" si="669"/>
        <v>0</v>
      </c>
      <c r="X543" s="388">
        <f t="shared" si="669"/>
        <v>0</v>
      </c>
      <c r="Y543" s="388">
        <f t="shared" si="669"/>
        <v>0</v>
      </c>
      <c r="Z543" s="388">
        <f t="shared" si="669"/>
        <v>0</v>
      </c>
      <c r="AA543" s="388">
        <f t="shared" si="669"/>
        <v>0</v>
      </c>
      <c r="AB543" s="388">
        <f t="shared" si="669"/>
        <v>0</v>
      </c>
      <c r="AC543" s="388">
        <f t="shared" si="669"/>
        <v>0</v>
      </c>
      <c r="AD543" s="388">
        <f t="shared" si="669"/>
        <v>0</v>
      </c>
      <c r="AE543" s="388">
        <f t="shared" si="669"/>
        <v>0</v>
      </c>
      <c r="AF543" s="388">
        <f t="shared" si="669"/>
        <v>0</v>
      </c>
      <c r="AG543" s="388">
        <f t="shared" si="669"/>
        <v>0</v>
      </c>
      <c r="AH543" s="388">
        <f t="shared" si="669"/>
        <v>0</v>
      </c>
      <c r="AI543" s="388">
        <f t="shared" si="669"/>
        <v>0</v>
      </c>
      <c r="AJ543" s="388">
        <f t="shared" si="669"/>
        <v>0</v>
      </c>
      <c r="AK543" s="388">
        <f t="shared" si="669"/>
        <v>0</v>
      </c>
      <c r="AL543" s="388">
        <f t="shared" si="669"/>
        <v>0</v>
      </c>
      <c r="AM543" s="388">
        <f t="shared" si="669"/>
        <v>0</v>
      </c>
      <c r="AN543" s="492">
        <f t="shared" si="669"/>
        <v>0</v>
      </c>
      <c r="AO543" s="388">
        <f t="shared" si="669"/>
        <v>0</v>
      </c>
      <c r="AP543" s="388">
        <f t="shared" si="669"/>
        <v>0</v>
      </c>
      <c r="AQ543" s="388">
        <f t="shared" si="669"/>
        <v>0</v>
      </c>
      <c r="AR543" s="388">
        <f t="shared" si="669"/>
        <v>0</v>
      </c>
      <c r="AS543" s="388">
        <f t="shared" si="669"/>
        <v>0</v>
      </c>
      <c r="AT543" s="388">
        <f t="shared" si="669"/>
        <v>0</v>
      </c>
      <c r="AU543" s="388">
        <f t="shared" si="669"/>
        <v>0</v>
      </c>
      <c r="AV543" s="388">
        <f t="shared" si="669"/>
        <v>0</v>
      </c>
      <c r="AW543" s="388">
        <f t="shared" si="669"/>
        <v>0</v>
      </c>
      <c r="AX543" s="388">
        <f t="shared" si="669"/>
        <v>0</v>
      </c>
      <c r="AY543" s="388">
        <f t="shared" si="669"/>
        <v>0</v>
      </c>
    </row>
    <row r="544" spans="1:51" ht="13.5" thickTop="1" x14ac:dyDescent="0.2"/>
    <row r="545" spans="1:51" ht="13.5" thickBot="1" x14ac:dyDescent="0.25">
      <c r="A545" s="400"/>
      <c r="B545" s="400"/>
      <c r="C545" s="402" t="s">
        <v>293</v>
      </c>
      <c r="D545" s="402"/>
      <c r="E545" s="503"/>
    </row>
    <row r="546" spans="1:51" ht="13.5" thickTop="1" x14ac:dyDescent="0.2">
      <c r="A546" s="376">
        <v>10470</v>
      </c>
      <c r="B546" s="378" t="str">
        <f t="shared" ref="B546:B570" si="670">VLOOKUP($A546,$A$5:$L$133,2,FALSE)</f>
        <v>Bathurst Regional (A)</v>
      </c>
      <c r="C546" s="377" t="str">
        <f t="shared" ref="C546:C570" si="671">VLOOKUP($A546,$A$5:$L$133,3,FALSE)</f>
        <v>NetWaste</v>
      </c>
      <c r="D546" s="503" t="str">
        <f t="shared" ref="D546:D570" si="672">VLOOKUP($A546,$A$5:$L$133,4,FALSE)</f>
        <v>N</v>
      </c>
      <c r="E546" s="503"/>
      <c r="F546"/>
      <c r="G546" s="379">
        <f t="shared" ref="G546:G570" si="673">VLOOKUP($A546,$A$5:$AY$132,7,FALSE)</f>
        <v>43080</v>
      </c>
      <c r="H546" s="379">
        <f t="shared" ref="H546:H570" si="674">VLOOKUP($A546,$A$5:$AY$132,8,FALSE)</f>
        <v>18326</v>
      </c>
      <c r="I546" s="379">
        <f t="shared" ref="I546:I570" si="675">VLOOKUP($A546,$A$5:$AY$132,9,FALSE)</f>
        <v>368</v>
      </c>
      <c r="J546" s="379" t="str">
        <f t="shared" ref="J546:J570" si="676">VLOOKUP($A546,$A$5:$AY$132,10,FALSE)</f>
        <v>Y</v>
      </c>
      <c r="K546" s="379">
        <f t="shared" ref="K546:K570" si="677">VLOOKUP($A546,$A$5:$AY$132,11,FALSE)</f>
        <v>14710</v>
      </c>
      <c r="L546" s="379">
        <f t="shared" ref="L546:L570" si="678">VLOOKUP($A546,$A$5:$AY$132,12,FALSE)</f>
        <v>0</v>
      </c>
      <c r="M546" s="379">
        <f t="shared" ref="M546:M570" si="679">VLOOKUP($A546,$A$4:$AY$132,13,FALSE)</f>
        <v>14683</v>
      </c>
      <c r="N546" s="379">
        <f t="shared" ref="N546:N570" si="680">VLOOKUP($A546,$A$4:$AY$132,14,FALSE)</f>
        <v>0</v>
      </c>
      <c r="O546" s="379">
        <f t="shared" ref="O546:O570" si="681">VLOOKUP($A546,$A$4:$AY$132,15,FALSE)</f>
        <v>13168</v>
      </c>
      <c r="P546" s="379">
        <f t="shared" ref="P546:P570" si="682">VLOOKUP($A546,$A$4:$AY$132,16,FALSE)</f>
        <v>0</v>
      </c>
      <c r="Q546" s="379" t="str">
        <f t="shared" ref="Q546:Q570" si="683">VLOOKUP($A546,$A$4:$AY$132,17,FALSE)</f>
        <v>Y</v>
      </c>
      <c r="R546" s="379" t="str">
        <f t="shared" ref="R546:R570" si="684">VLOOKUP($A546,$A$4:$AY$132,18,FALSE)</f>
        <v>Bathurst WMC</v>
      </c>
      <c r="S546" s="379" t="str">
        <f t="shared" ref="S546:S570" si="685">VLOOKUP($A546,$A$4:$AY$132,19,FALSE)</f>
        <v>Sofala T/station</v>
      </c>
      <c r="T546" s="379" t="str">
        <f t="shared" ref="T546:T570" si="686">VLOOKUP($A546,$A$4:$AY$132,20,FALSE)</f>
        <v>Sunny Corner T/station</v>
      </c>
      <c r="U546" s="379" t="str">
        <f t="shared" ref="U546:U570" si="687">VLOOKUP($A546,$A$4:$AY$132,21,FALSE)</f>
        <v>Rockley T/station</v>
      </c>
      <c r="V546" s="379" t="str">
        <f t="shared" ref="V546:V570" si="688">VLOOKUP($A546,$A$4:$AY$132,22,FALSE)</f>
        <v>Trunkey Creek T/station</v>
      </c>
      <c r="W546" s="379" t="str">
        <f t="shared" ref="W546:W570" si="689">VLOOKUP($A546,$A$4:$AY$132,23,FALSE)</f>
        <v>Hill End tip</v>
      </c>
      <c r="X546" s="379">
        <f t="shared" ref="X546:X570" si="690">VLOOKUP($A546,$A$4:$AY$132,24,FALSE)</f>
        <v>0</v>
      </c>
      <c r="Y546" s="379">
        <f t="shared" ref="Y546:Y570" si="691">VLOOKUP($A546,$A$4:$AY$132,25,FALSE)</f>
        <v>0</v>
      </c>
      <c r="Z546" s="379">
        <f t="shared" ref="Z546:Z570" si="692">VLOOKUP($A546,$A$4:$AY$132,26,FALSE)</f>
        <v>0</v>
      </c>
      <c r="AA546" s="379">
        <f t="shared" ref="AA546:AA570" si="693">VLOOKUP($A546,$A$4:$AY$132,27,FALSE)</f>
        <v>0</v>
      </c>
      <c r="AB546" s="379">
        <f t="shared" ref="AB546:AB570" si="694">VLOOKUP($A546,$A$4:$AY$132,28,FALSE)</f>
        <v>0</v>
      </c>
      <c r="AC546" s="379">
        <f t="shared" ref="AC546:AC570" si="695">VLOOKUP($A546,$A$4:$AY$132,29,FALSE)</f>
        <v>0</v>
      </c>
      <c r="AD546" s="379">
        <f t="shared" ref="AD546:AD570" si="696">VLOOKUP($A546,$A$4:$AY$132,30,FALSE)</f>
        <v>0</v>
      </c>
      <c r="AE546" s="379">
        <f t="shared" ref="AE546:AE570" si="697">VLOOKUP($A546,$A$4:$AY$132,31,FALSE)</f>
        <v>0</v>
      </c>
      <c r="AF546" s="379">
        <f t="shared" ref="AF546:AF570" si="698">VLOOKUP($A546,$A$4:$AY$132,32,FALSE)</f>
        <v>0</v>
      </c>
      <c r="AG546" s="379">
        <f t="shared" ref="AG546:AG570" si="699">VLOOKUP($A546,$A$4:$AY$132,33,FALSE)</f>
        <v>0</v>
      </c>
      <c r="AH546" s="379">
        <f t="shared" ref="AH546:AH570" si="700">VLOOKUP($A546,$A$4:$AY$132,34,FALSE)</f>
        <v>0</v>
      </c>
      <c r="AI546" s="379">
        <f t="shared" ref="AI546:AI570" si="701">VLOOKUP($A546,$A$4:$AY$132,35,FALSE)</f>
        <v>0</v>
      </c>
      <c r="AJ546" s="379">
        <f t="shared" ref="AJ546:AJ570" si="702">VLOOKUP($A546,$A$4:$AY$132,36,FALSE)</f>
        <v>0</v>
      </c>
      <c r="AK546" s="379">
        <f t="shared" ref="AK546:AK570" si="703">VLOOKUP($A546,$A$4:$AY$132,37,FALSE)</f>
        <v>0</v>
      </c>
      <c r="AL546" s="379">
        <f t="shared" ref="AL546:AL570" si="704">VLOOKUP($A546,$A$4:$AY$132,38,FALSE)</f>
        <v>0</v>
      </c>
      <c r="AM546" s="379">
        <f t="shared" ref="AM546:AM570" si="705">VLOOKUP($A546,$A$4:$AY$132,39,FALSE)</f>
        <v>0</v>
      </c>
      <c r="AN546" s="490">
        <f t="shared" ref="AN546:AN570" si="706">VLOOKUP($A546,$A$4:$AY$132,40,FALSE)</f>
        <v>0</v>
      </c>
      <c r="AO546" s="379">
        <f t="shared" ref="AO546:AO570" si="707">VLOOKUP($A546,$A$4:$AY$132,41,FALSE)</f>
        <v>0</v>
      </c>
      <c r="AP546" s="379">
        <f t="shared" ref="AP546:AP570" si="708">VLOOKUP($A546,$A$4:$AY$132,42,FALSE)</f>
        <v>0</v>
      </c>
      <c r="AQ546" s="379">
        <f t="shared" ref="AQ546:AQ570" si="709">VLOOKUP($A546,$A$4:$AY$132,43,FALSE)</f>
        <v>0</v>
      </c>
      <c r="AR546" s="379">
        <f t="shared" ref="AR546:AR570" si="710">VLOOKUP($A546,$A$4:$AY$132,44,FALSE)</f>
        <v>0</v>
      </c>
      <c r="AS546" s="379">
        <f t="shared" ref="AS546:AS570" si="711">VLOOKUP($A546,$A$4:$AY$132,45,FALSE)</f>
        <v>0</v>
      </c>
      <c r="AT546" s="379">
        <f t="shared" ref="AT546:AT570" si="712">VLOOKUP($A546,$A$4:$AY$132,46,FALSE)</f>
        <v>0</v>
      </c>
      <c r="AU546" s="379">
        <f t="shared" ref="AU546:AU570" si="713">VLOOKUP($A546,$A$4:$AY$132,47,FALSE)</f>
        <v>0</v>
      </c>
      <c r="AV546" s="379">
        <f t="shared" ref="AV546:AV570" si="714">VLOOKUP($A546,$A$4:$AY$132,48,FALSE)</f>
        <v>0</v>
      </c>
      <c r="AW546" s="379">
        <f t="shared" ref="AW546:AW570" si="715">VLOOKUP($A546,$A$4:$AY$132,49,FALSE)</f>
        <v>0</v>
      </c>
      <c r="AX546" s="379">
        <f t="shared" ref="AX546:AX570" si="716">VLOOKUP($A546,$A$4:$AY$132,50,FALSE)</f>
        <v>0</v>
      </c>
      <c r="AY546" s="379">
        <f t="shared" ref="AY546:AY570" si="717">VLOOKUP($A546,$A$4:$AY$132,51,FALSE)</f>
        <v>0</v>
      </c>
    </row>
    <row r="547" spans="1:51" x14ac:dyDescent="0.2">
      <c r="A547" s="376">
        <v>10850</v>
      </c>
      <c r="B547" s="378" t="str">
        <f t="shared" si="670"/>
        <v>Blayney (A)</v>
      </c>
      <c r="C547" s="377" t="str">
        <f t="shared" si="671"/>
        <v>NetWaste</v>
      </c>
      <c r="D547" s="503" t="str">
        <f t="shared" si="672"/>
        <v>N</v>
      </c>
      <c r="E547" s="503"/>
      <c r="F547"/>
      <c r="G547" s="379">
        <f t="shared" si="673"/>
        <v>7457</v>
      </c>
      <c r="H547" s="379">
        <f t="shared" si="674"/>
        <v>3550</v>
      </c>
      <c r="I547" s="379">
        <f t="shared" si="675"/>
        <v>412</v>
      </c>
      <c r="J547" s="379" t="str">
        <f t="shared" si="676"/>
        <v>Y</v>
      </c>
      <c r="K547" s="379">
        <f t="shared" si="677"/>
        <v>3452</v>
      </c>
      <c r="L547" s="379">
        <f t="shared" si="678"/>
        <v>0</v>
      </c>
      <c r="M547" s="379">
        <f t="shared" si="679"/>
        <v>2521</v>
      </c>
      <c r="N547" s="379">
        <f t="shared" si="680"/>
        <v>0</v>
      </c>
      <c r="O547" s="379">
        <f t="shared" si="681"/>
        <v>0</v>
      </c>
      <c r="P547" s="379" t="str">
        <f t="shared" si="682"/>
        <v>Y</v>
      </c>
      <c r="Q547" s="379" t="str">
        <f t="shared" si="683"/>
        <v>Y</v>
      </c>
      <c r="R547" s="379" t="str">
        <f t="shared" si="684"/>
        <v>Blayney Waste Facility</v>
      </c>
      <c r="S547" s="379">
        <f t="shared" si="685"/>
        <v>0</v>
      </c>
      <c r="T547" s="379">
        <f t="shared" si="686"/>
        <v>0</v>
      </c>
      <c r="U547" s="379">
        <f t="shared" si="687"/>
        <v>0</v>
      </c>
      <c r="V547" s="379">
        <f t="shared" si="688"/>
        <v>0</v>
      </c>
      <c r="W547" s="379">
        <f t="shared" si="689"/>
        <v>0</v>
      </c>
      <c r="X547" s="379">
        <f t="shared" si="690"/>
        <v>0</v>
      </c>
      <c r="Y547" s="379">
        <f t="shared" si="691"/>
        <v>0</v>
      </c>
      <c r="Z547" s="379">
        <f t="shared" si="692"/>
        <v>0</v>
      </c>
      <c r="AA547" s="379">
        <f t="shared" si="693"/>
        <v>0</v>
      </c>
      <c r="AB547" s="379">
        <f t="shared" si="694"/>
        <v>0</v>
      </c>
      <c r="AC547" s="379">
        <f t="shared" si="695"/>
        <v>0</v>
      </c>
      <c r="AD547" s="379">
        <f t="shared" si="696"/>
        <v>0</v>
      </c>
      <c r="AE547" s="379">
        <f t="shared" si="697"/>
        <v>0</v>
      </c>
      <c r="AF547" s="379">
        <f t="shared" si="698"/>
        <v>0</v>
      </c>
      <c r="AG547" s="379">
        <f t="shared" si="699"/>
        <v>0</v>
      </c>
      <c r="AH547" s="379">
        <f t="shared" si="700"/>
        <v>0</v>
      </c>
      <c r="AI547" s="379">
        <f t="shared" si="701"/>
        <v>0</v>
      </c>
      <c r="AJ547" s="379">
        <f t="shared" si="702"/>
        <v>0</v>
      </c>
      <c r="AK547" s="379">
        <f t="shared" si="703"/>
        <v>0</v>
      </c>
      <c r="AL547" s="379">
        <f t="shared" si="704"/>
        <v>0</v>
      </c>
      <c r="AM547" s="379">
        <f t="shared" si="705"/>
        <v>0</v>
      </c>
      <c r="AN547" s="490">
        <f t="shared" si="706"/>
        <v>0</v>
      </c>
      <c r="AO547" s="379">
        <f t="shared" si="707"/>
        <v>0</v>
      </c>
      <c r="AP547" s="379">
        <f t="shared" si="708"/>
        <v>0</v>
      </c>
      <c r="AQ547" s="379">
        <f t="shared" si="709"/>
        <v>0</v>
      </c>
      <c r="AR547" s="379">
        <f t="shared" si="710"/>
        <v>0</v>
      </c>
      <c r="AS547" s="379">
        <f t="shared" si="711"/>
        <v>0</v>
      </c>
      <c r="AT547" s="379">
        <f t="shared" si="712"/>
        <v>0</v>
      </c>
      <c r="AU547" s="379">
        <f t="shared" si="713"/>
        <v>0</v>
      </c>
      <c r="AV547" s="379">
        <f t="shared" si="714"/>
        <v>0</v>
      </c>
      <c r="AW547" s="379">
        <f t="shared" si="715"/>
        <v>0</v>
      </c>
      <c r="AX547" s="379">
        <f t="shared" si="716"/>
        <v>0</v>
      </c>
      <c r="AY547" s="379">
        <f t="shared" si="717"/>
        <v>0</v>
      </c>
    </row>
    <row r="548" spans="1:51" x14ac:dyDescent="0.2">
      <c r="A548" s="376">
        <v>10950</v>
      </c>
      <c r="B548" s="378" t="str">
        <f t="shared" si="670"/>
        <v>Bogan (A)</v>
      </c>
      <c r="C548" s="377" t="str">
        <f t="shared" si="671"/>
        <v>NetWaste</v>
      </c>
      <c r="D548" s="503" t="str">
        <f t="shared" si="672"/>
        <v>N</v>
      </c>
      <c r="E548" s="503"/>
      <c r="F548"/>
      <c r="G548" s="379">
        <f t="shared" si="673"/>
        <v>3007</v>
      </c>
      <c r="H548" s="379">
        <f t="shared" si="674"/>
        <v>5810</v>
      </c>
      <c r="I548" s="379">
        <f t="shared" si="675"/>
        <v>218</v>
      </c>
      <c r="J548" s="379" t="str">
        <f t="shared" si="676"/>
        <v>Y</v>
      </c>
      <c r="K548" s="379">
        <f t="shared" si="677"/>
        <v>1701</v>
      </c>
      <c r="L548" s="379">
        <f t="shared" si="678"/>
        <v>0</v>
      </c>
      <c r="M548" s="379">
        <f t="shared" si="679"/>
        <v>1701</v>
      </c>
      <c r="N548" s="379">
        <f t="shared" si="680"/>
        <v>0</v>
      </c>
      <c r="O548" s="379">
        <f t="shared" si="681"/>
        <v>0</v>
      </c>
      <c r="P548" s="379">
        <f t="shared" si="682"/>
        <v>0</v>
      </c>
      <c r="Q548" s="379" t="str">
        <f t="shared" si="683"/>
        <v>Y</v>
      </c>
      <c r="R548" s="379" t="str">
        <f t="shared" si="684"/>
        <v>Nyngan Waste Facility</v>
      </c>
      <c r="S548" s="379">
        <f t="shared" si="685"/>
        <v>0</v>
      </c>
      <c r="T548" s="379">
        <f t="shared" si="686"/>
        <v>0</v>
      </c>
      <c r="U548" s="379">
        <f t="shared" si="687"/>
        <v>0</v>
      </c>
      <c r="V548" s="379">
        <f t="shared" si="688"/>
        <v>0</v>
      </c>
      <c r="W548" s="379">
        <f t="shared" si="689"/>
        <v>0</v>
      </c>
      <c r="X548" s="379">
        <f t="shared" si="690"/>
        <v>0</v>
      </c>
      <c r="Y548" s="379">
        <f t="shared" si="691"/>
        <v>0</v>
      </c>
      <c r="Z548" s="379">
        <f t="shared" si="692"/>
        <v>0</v>
      </c>
      <c r="AA548" s="379">
        <f t="shared" si="693"/>
        <v>0</v>
      </c>
      <c r="AB548" s="379">
        <f t="shared" si="694"/>
        <v>0</v>
      </c>
      <c r="AC548" s="379">
        <f t="shared" si="695"/>
        <v>0</v>
      </c>
      <c r="AD548" s="379">
        <f t="shared" si="696"/>
        <v>0</v>
      </c>
      <c r="AE548" s="379">
        <f t="shared" si="697"/>
        <v>0</v>
      </c>
      <c r="AF548" s="379">
        <f t="shared" si="698"/>
        <v>0</v>
      </c>
      <c r="AG548" s="379">
        <f t="shared" si="699"/>
        <v>0</v>
      </c>
      <c r="AH548" s="379">
        <f t="shared" si="700"/>
        <v>0</v>
      </c>
      <c r="AI548" s="379">
        <f t="shared" si="701"/>
        <v>0</v>
      </c>
      <c r="AJ548" s="379">
        <f t="shared" si="702"/>
        <v>0</v>
      </c>
      <c r="AK548" s="379">
        <f t="shared" si="703"/>
        <v>0</v>
      </c>
      <c r="AL548" s="379">
        <f t="shared" si="704"/>
        <v>0</v>
      </c>
      <c r="AM548" s="379">
        <f t="shared" si="705"/>
        <v>0</v>
      </c>
      <c r="AN548" s="490">
        <f t="shared" si="706"/>
        <v>0</v>
      </c>
      <c r="AO548" s="379">
        <f t="shared" si="707"/>
        <v>0</v>
      </c>
      <c r="AP548" s="379">
        <f t="shared" si="708"/>
        <v>0</v>
      </c>
      <c r="AQ548" s="379">
        <f t="shared" si="709"/>
        <v>0</v>
      </c>
      <c r="AR548" s="379">
        <f t="shared" si="710"/>
        <v>0</v>
      </c>
      <c r="AS548" s="379">
        <f t="shared" si="711"/>
        <v>0</v>
      </c>
      <c r="AT548" s="379">
        <f t="shared" si="712"/>
        <v>0</v>
      </c>
      <c r="AU548" s="379">
        <f t="shared" si="713"/>
        <v>0</v>
      </c>
      <c r="AV548" s="379">
        <f t="shared" si="714"/>
        <v>0</v>
      </c>
      <c r="AW548" s="379">
        <f t="shared" si="715"/>
        <v>0</v>
      </c>
      <c r="AX548" s="379">
        <f t="shared" si="716"/>
        <v>0</v>
      </c>
      <c r="AY548" s="379">
        <f t="shared" si="717"/>
        <v>0</v>
      </c>
    </row>
    <row r="549" spans="1:51" x14ac:dyDescent="0.2">
      <c r="A549" s="376">
        <v>11150</v>
      </c>
      <c r="B549" s="378" t="str">
        <f t="shared" si="670"/>
        <v>Bourke (A)</v>
      </c>
      <c r="C549" s="377" t="str">
        <f t="shared" si="671"/>
        <v>NetWaste</v>
      </c>
      <c r="D549" s="503" t="str">
        <f t="shared" si="672"/>
        <v>N</v>
      </c>
      <c r="E549" s="503"/>
      <c r="F549"/>
      <c r="G549" s="379">
        <f t="shared" si="673"/>
        <v>2814</v>
      </c>
      <c r="H549" s="379">
        <f t="shared" si="674"/>
        <v>938</v>
      </c>
      <c r="I549" s="379">
        <f t="shared" si="675"/>
        <v>279</v>
      </c>
      <c r="J549" s="379" t="str">
        <f t="shared" si="676"/>
        <v>Y</v>
      </c>
      <c r="K549" s="379">
        <f t="shared" si="677"/>
        <v>928</v>
      </c>
      <c r="L549" s="379">
        <f t="shared" si="678"/>
        <v>0</v>
      </c>
      <c r="M549" s="379">
        <f t="shared" si="679"/>
        <v>0</v>
      </c>
      <c r="N549" s="379">
        <f t="shared" si="680"/>
        <v>0</v>
      </c>
      <c r="O549" s="379">
        <f t="shared" si="681"/>
        <v>0</v>
      </c>
      <c r="P549" s="379">
        <f t="shared" si="682"/>
        <v>0</v>
      </c>
      <c r="Q549" s="379">
        <f t="shared" si="683"/>
        <v>0</v>
      </c>
      <c r="R549" s="379">
        <f t="shared" si="684"/>
        <v>0</v>
      </c>
      <c r="S549" s="379">
        <f t="shared" si="685"/>
        <v>0</v>
      </c>
      <c r="T549" s="379">
        <f t="shared" si="686"/>
        <v>0</v>
      </c>
      <c r="U549" s="379">
        <f t="shared" si="687"/>
        <v>0</v>
      </c>
      <c r="V549" s="379">
        <f t="shared" si="688"/>
        <v>0</v>
      </c>
      <c r="W549" s="379">
        <f t="shared" si="689"/>
        <v>0</v>
      </c>
      <c r="X549" s="379">
        <f t="shared" si="690"/>
        <v>0</v>
      </c>
      <c r="Y549" s="379">
        <f t="shared" si="691"/>
        <v>0</v>
      </c>
      <c r="Z549" s="379">
        <f t="shared" si="692"/>
        <v>0</v>
      </c>
      <c r="AA549" s="379">
        <f t="shared" si="693"/>
        <v>0</v>
      </c>
      <c r="AB549" s="379">
        <f t="shared" si="694"/>
        <v>0</v>
      </c>
      <c r="AC549" s="379">
        <f t="shared" si="695"/>
        <v>0</v>
      </c>
      <c r="AD549" s="379">
        <f t="shared" si="696"/>
        <v>0</v>
      </c>
      <c r="AE549" s="379">
        <f t="shared" si="697"/>
        <v>0</v>
      </c>
      <c r="AF549" s="379">
        <f t="shared" si="698"/>
        <v>0</v>
      </c>
      <c r="AG549" s="379">
        <f t="shared" si="699"/>
        <v>0</v>
      </c>
      <c r="AH549" s="379">
        <f t="shared" si="700"/>
        <v>0</v>
      </c>
      <c r="AI549" s="379">
        <f t="shared" si="701"/>
        <v>0</v>
      </c>
      <c r="AJ549" s="379">
        <f t="shared" si="702"/>
        <v>0</v>
      </c>
      <c r="AK549" s="379">
        <f t="shared" si="703"/>
        <v>0</v>
      </c>
      <c r="AL549" s="379">
        <f t="shared" si="704"/>
        <v>0</v>
      </c>
      <c r="AM549" s="379">
        <f t="shared" si="705"/>
        <v>0</v>
      </c>
      <c r="AN549" s="490">
        <f t="shared" si="706"/>
        <v>0</v>
      </c>
      <c r="AO549" s="379">
        <f t="shared" si="707"/>
        <v>0</v>
      </c>
      <c r="AP549" s="379">
        <f t="shared" si="708"/>
        <v>0</v>
      </c>
      <c r="AQ549" s="379">
        <f t="shared" si="709"/>
        <v>0</v>
      </c>
      <c r="AR549" s="379">
        <f t="shared" si="710"/>
        <v>0</v>
      </c>
      <c r="AS549" s="379">
        <f t="shared" si="711"/>
        <v>0</v>
      </c>
      <c r="AT549" s="379">
        <f t="shared" si="712"/>
        <v>0</v>
      </c>
      <c r="AU549" s="379">
        <f t="shared" si="713"/>
        <v>0</v>
      </c>
      <c r="AV549" s="379">
        <f t="shared" si="714"/>
        <v>0</v>
      </c>
      <c r="AW549" s="379">
        <f t="shared" si="715"/>
        <v>0</v>
      </c>
      <c r="AX549" s="379">
        <f t="shared" si="716"/>
        <v>0</v>
      </c>
      <c r="AY549" s="379">
        <f t="shared" si="717"/>
        <v>0</v>
      </c>
    </row>
    <row r="550" spans="1:51" x14ac:dyDescent="0.2">
      <c r="A550" s="376">
        <v>11200</v>
      </c>
      <c r="B550" s="378" t="str">
        <f t="shared" si="670"/>
        <v>Brewarrina (A)</v>
      </c>
      <c r="C550" s="377" t="str">
        <f t="shared" si="671"/>
        <v>NetWaste</v>
      </c>
      <c r="D550" s="503" t="str">
        <f t="shared" si="672"/>
        <v>N</v>
      </c>
      <c r="E550" s="503"/>
      <c r="F550"/>
      <c r="G550" s="379">
        <f t="shared" si="673"/>
        <v>1875</v>
      </c>
      <c r="H550" s="379">
        <f t="shared" si="674"/>
        <v>899</v>
      </c>
      <c r="I550" s="379">
        <f t="shared" si="675"/>
        <v>444</v>
      </c>
      <c r="J550" s="379" t="str">
        <f t="shared" si="676"/>
        <v>Y</v>
      </c>
      <c r="K550" s="379">
        <f t="shared" si="677"/>
        <v>814</v>
      </c>
      <c r="L550" s="379">
        <f t="shared" si="678"/>
        <v>0</v>
      </c>
      <c r="M550" s="379">
        <f t="shared" si="679"/>
        <v>0</v>
      </c>
      <c r="N550" s="379">
        <f t="shared" si="680"/>
        <v>0</v>
      </c>
      <c r="O550" s="379">
        <f t="shared" si="681"/>
        <v>0</v>
      </c>
      <c r="P550" s="379">
        <f t="shared" si="682"/>
        <v>0</v>
      </c>
      <c r="Q550" s="379" t="str">
        <f t="shared" si="683"/>
        <v>Y</v>
      </c>
      <c r="R550" s="379" t="str">
        <f t="shared" si="684"/>
        <v>Brewarrina Waste Depot</v>
      </c>
      <c r="S550" s="379" t="str">
        <f t="shared" si="685"/>
        <v>Goodooga Waste Depot</v>
      </c>
      <c r="T550" s="379" t="str">
        <f t="shared" si="686"/>
        <v>Angledool Waste depot</v>
      </c>
      <c r="U550" s="379" t="str">
        <f t="shared" si="687"/>
        <v>Weilmoringle Waste depot</v>
      </c>
      <c r="V550" s="379">
        <f t="shared" si="688"/>
        <v>0</v>
      </c>
      <c r="W550" s="379">
        <f t="shared" si="689"/>
        <v>0</v>
      </c>
      <c r="X550" s="379">
        <f t="shared" si="690"/>
        <v>0</v>
      </c>
      <c r="Y550" s="379">
        <f t="shared" si="691"/>
        <v>0</v>
      </c>
      <c r="Z550" s="379">
        <f t="shared" si="692"/>
        <v>0</v>
      </c>
      <c r="AA550" s="379">
        <f t="shared" si="693"/>
        <v>0</v>
      </c>
      <c r="AB550" s="379">
        <f t="shared" si="694"/>
        <v>0</v>
      </c>
      <c r="AC550" s="379">
        <f t="shared" si="695"/>
        <v>0</v>
      </c>
      <c r="AD550" s="379">
        <f t="shared" si="696"/>
        <v>0</v>
      </c>
      <c r="AE550" s="379">
        <f t="shared" si="697"/>
        <v>0</v>
      </c>
      <c r="AF550" s="379">
        <f t="shared" si="698"/>
        <v>0</v>
      </c>
      <c r="AG550" s="379">
        <f t="shared" si="699"/>
        <v>0</v>
      </c>
      <c r="AH550" s="379">
        <f t="shared" si="700"/>
        <v>0</v>
      </c>
      <c r="AI550" s="379">
        <f t="shared" si="701"/>
        <v>0</v>
      </c>
      <c r="AJ550" s="379">
        <f t="shared" si="702"/>
        <v>0</v>
      </c>
      <c r="AK550" s="379">
        <f t="shared" si="703"/>
        <v>0</v>
      </c>
      <c r="AL550" s="379">
        <f t="shared" si="704"/>
        <v>0</v>
      </c>
      <c r="AM550" s="379">
        <f t="shared" si="705"/>
        <v>0</v>
      </c>
      <c r="AN550" s="490">
        <f t="shared" si="706"/>
        <v>0</v>
      </c>
      <c r="AO550" s="379">
        <f t="shared" si="707"/>
        <v>0</v>
      </c>
      <c r="AP550" s="379">
        <f t="shared" si="708"/>
        <v>0</v>
      </c>
      <c r="AQ550" s="379">
        <f t="shared" si="709"/>
        <v>0</v>
      </c>
      <c r="AR550" s="379">
        <f t="shared" si="710"/>
        <v>0</v>
      </c>
      <c r="AS550" s="379">
        <f t="shared" si="711"/>
        <v>0</v>
      </c>
      <c r="AT550" s="379">
        <f t="shared" si="712"/>
        <v>0</v>
      </c>
      <c r="AU550" s="379">
        <f t="shared" si="713"/>
        <v>0</v>
      </c>
      <c r="AV550" s="379">
        <f t="shared" si="714"/>
        <v>0</v>
      </c>
      <c r="AW550" s="379">
        <f t="shared" si="715"/>
        <v>0</v>
      </c>
      <c r="AX550" s="379">
        <f t="shared" si="716"/>
        <v>0</v>
      </c>
      <c r="AY550" s="379">
        <f t="shared" si="717"/>
        <v>0</v>
      </c>
    </row>
    <row r="551" spans="1:51" x14ac:dyDescent="0.2">
      <c r="A551" s="376">
        <v>11250</v>
      </c>
      <c r="B551" s="378" t="str">
        <f t="shared" si="670"/>
        <v>Broken Hill (C)</v>
      </c>
      <c r="C551" s="377" t="str">
        <f t="shared" si="671"/>
        <v>NetWaste</v>
      </c>
      <c r="D551" s="503" t="str">
        <f t="shared" si="672"/>
        <v>N</v>
      </c>
      <c r="E551" s="503"/>
      <c r="F551"/>
      <c r="G551" s="379">
        <f t="shared" si="673"/>
        <v>18557</v>
      </c>
      <c r="H551" s="379">
        <f t="shared" si="674"/>
        <v>9460</v>
      </c>
      <c r="I551" s="379">
        <f t="shared" si="675"/>
        <v>252</v>
      </c>
      <c r="J551" s="379" t="str">
        <f t="shared" si="676"/>
        <v>Y</v>
      </c>
      <c r="K551" s="379">
        <f t="shared" si="677"/>
        <v>9767</v>
      </c>
      <c r="L551" s="379">
        <f t="shared" si="678"/>
        <v>0</v>
      </c>
      <c r="M551" s="379">
        <f t="shared" si="679"/>
        <v>0</v>
      </c>
      <c r="N551" s="379">
        <f t="shared" si="680"/>
        <v>0</v>
      </c>
      <c r="O551" s="379">
        <f t="shared" si="681"/>
        <v>8600</v>
      </c>
      <c r="P551" s="379">
        <f t="shared" si="682"/>
        <v>0</v>
      </c>
      <c r="Q551" s="379" t="str">
        <f t="shared" si="683"/>
        <v>Y</v>
      </c>
      <c r="R551" s="379" t="str">
        <f t="shared" si="684"/>
        <v xml:space="preserve">Broken Hill Waste Management Facility </v>
      </c>
      <c r="S551" s="379">
        <f t="shared" si="685"/>
        <v>0</v>
      </c>
      <c r="T551" s="379">
        <f t="shared" si="686"/>
        <v>0</v>
      </c>
      <c r="U551" s="379">
        <f t="shared" si="687"/>
        <v>0</v>
      </c>
      <c r="V551" s="379">
        <f t="shared" si="688"/>
        <v>0</v>
      </c>
      <c r="W551" s="379">
        <f t="shared" si="689"/>
        <v>0</v>
      </c>
      <c r="X551" s="379">
        <f t="shared" si="690"/>
        <v>0</v>
      </c>
      <c r="Y551" s="379">
        <f t="shared" si="691"/>
        <v>0</v>
      </c>
      <c r="Z551" s="379">
        <f t="shared" si="692"/>
        <v>0</v>
      </c>
      <c r="AA551" s="379">
        <f t="shared" si="693"/>
        <v>0</v>
      </c>
      <c r="AB551" s="379">
        <f t="shared" si="694"/>
        <v>0</v>
      </c>
      <c r="AC551" s="379">
        <f t="shared" si="695"/>
        <v>0</v>
      </c>
      <c r="AD551" s="379">
        <f t="shared" si="696"/>
        <v>0</v>
      </c>
      <c r="AE551" s="379">
        <f t="shared" si="697"/>
        <v>0</v>
      </c>
      <c r="AF551" s="379">
        <f t="shared" si="698"/>
        <v>0</v>
      </c>
      <c r="AG551" s="379">
        <f t="shared" si="699"/>
        <v>0</v>
      </c>
      <c r="AH551" s="379">
        <f t="shared" si="700"/>
        <v>0</v>
      </c>
      <c r="AI551" s="379">
        <f t="shared" si="701"/>
        <v>0</v>
      </c>
      <c r="AJ551" s="379">
        <f t="shared" si="702"/>
        <v>0</v>
      </c>
      <c r="AK551" s="379">
        <f t="shared" si="703"/>
        <v>0</v>
      </c>
      <c r="AL551" s="379">
        <f t="shared" si="704"/>
        <v>0</v>
      </c>
      <c r="AM551" s="379">
        <f t="shared" si="705"/>
        <v>0</v>
      </c>
      <c r="AN551" s="490">
        <f t="shared" si="706"/>
        <v>0</v>
      </c>
      <c r="AO551" s="379">
        <f t="shared" si="707"/>
        <v>0</v>
      </c>
      <c r="AP551" s="379">
        <f t="shared" si="708"/>
        <v>0</v>
      </c>
      <c r="AQ551" s="379">
        <f t="shared" si="709"/>
        <v>0</v>
      </c>
      <c r="AR551" s="379">
        <f t="shared" si="710"/>
        <v>0</v>
      </c>
      <c r="AS551" s="379">
        <f t="shared" si="711"/>
        <v>0</v>
      </c>
      <c r="AT551" s="379">
        <f t="shared" si="712"/>
        <v>0</v>
      </c>
      <c r="AU551" s="379">
        <f t="shared" si="713"/>
        <v>0</v>
      </c>
      <c r="AV551" s="379">
        <f t="shared" si="714"/>
        <v>0</v>
      </c>
      <c r="AW551" s="379">
        <f t="shared" si="715"/>
        <v>0</v>
      </c>
      <c r="AX551" s="379">
        <f t="shared" si="716"/>
        <v>0</v>
      </c>
      <c r="AY551" s="379">
        <f t="shared" si="717"/>
        <v>0</v>
      </c>
    </row>
    <row r="552" spans="1:51" x14ac:dyDescent="0.2">
      <c r="A552" s="376">
        <v>11400</v>
      </c>
      <c r="B552" s="378" t="str">
        <f t="shared" si="670"/>
        <v>Cabonne (A)</v>
      </c>
      <c r="C552" s="377" t="str">
        <f t="shared" si="671"/>
        <v>NetWaste</v>
      </c>
      <c r="D552" s="503" t="str">
        <f t="shared" si="672"/>
        <v>N</v>
      </c>
      <c r="E552" s="503"/>
      <c r="F552"/>
      <c r="G552" s="379">
        <f t="shared" si="673"/>
        <v>13999</v>
      </c>
      <c r="H552" s="379">
        <f t="shared" si="674"/>
        <v>7106</v>
      </c>
      <c r="I552" s="379">
        <f t="shared" si="675"/>
        <v>338.9</v>
      </c>
      <c r="J552" s="379" t="str">
        <f t="shared" si="676"/>
        <v>Y</v>
      </c>
      <c r="K552" s="379">
        <f t="shared" si="677"/>
        <v>3580</v>
      </c>
      <c r="L552" s="379">
        <f t="shared" si="678"/>
        <v>0</v>
      </c>
      <c r="M552" s="379">
        <f t="shared" si="679"/>
        <v>3580</v>
      </c>
      <c r="N552" s="379">
        <f t="shared" si="680"/>
        <v>0</v>
      </c>
      <c r="O552" s="379">
        <f t="shared" si="681"/>
        <v>0</v>
      </c>
      <c r="P552" s="379" t="str">
        <f t="shared" si="682"/>
        <v>Y</v>
      </c>
      <c r="Q552" s="379" t="str">
        <f t="shared" si="683"/>
        <v>Y</v>
      </c>
      <c r="R552" s="379" t="str">
        <f t="shared" si="684"/>
        <v>Canowindra WMF</v>
      </c>
      <c r="S552" s="379" t="str">
        <f t="shared" si="685"/>
        <v>Cargo WMF</v>
      </c>
      <c r="T552" s="379" t="str">
        <f t="shared" si="686"/>
        <v>Cumnock WMF</v>
      </c>
      <c r="U552" s="379" t="str">
        <f t="shared" si="687"/>
        <v>Eugowra WMF</v>
      </c>
      <c r="V552" s="379" t="str">
        <f t="shared" si="688"/>
        <v>Manildra WMF</v>
      </c>
      <c r="W552" s="379" t="str">
        <f t="shared" si="689"/>
        <v>Yeoval WMF</v>
      </c>
      <c r="X552" s="379">
        <f t="shared" si="690"/>
        <v>0</v>
      </c>
      <c r="Y552" s="379">
        <f t="shared" si="691"/>
        <v>0</v>
      </c>
      <c r="Z552" s="379">
        <f t="shared" si="692"/>
        <v>0</v>
      </c>
      <c r="AA552" s="379">
        <f t="shared" si="693"/>
        <v>0</v>
      </c>
      <c r="AB552" s="379">
        <f t="shared" si="694"/>
        <v>0</v>
      </c>
      <c r="AC552" s="379">
        <f t="shared" si="695"/>
        <v>0</v>
      </c>
      <c r="AD552" s="379">
        <f t="shared" si="696"/>
        <v>0</v>
      </c>
      <c r="AE552" s="379">
        <f t="shared" si="697"/>
        <v>0</v>
      </c>
      <c r="AF552" s="379">
        <f t="shared" si="698"/>
        <v>0</v>
      </c>
      <c r="AG552" s="379">
        <f t="shared" si="699"/>
        <v>0</v>
      </c>
      <c r="AH552" s="379">
        <f t="shared" si="700"/>
        <v>0</v>
      </c>
      <c r="AI552" s="379">
        <f t="shared" si="701"/>
        <v>0</v>
      </c>
      <c r="AJ552" s="379">
        <f t="shared" si="702"/>
        <v>0</v>
      </c>
      <c r="AK552" s="379">
        <f t="shared" si="703"/>
        <v>0</v>
      </c>
      <c r="AL552" s="379">
        <f t="shared" si="704"/>
        <v>0</v>
      </c>
      <c r="AM552" s="379">
        <f t="shared" si="705"/>
        <v>0</v>
      </c>
      <c r="AN552" s="490">
        <f t="shared" si="706"/>
        <v>0</v>
      </c>
      <c r="AO552" s="379">
        <f t="shared" si="707"/>
        <v>0</v>
      </c>
      <c r="AP552" s="379">
        <f t="shared" si="708"/>
        <v>0</v>
      </c>
      <c r="AQ552" s="379">
        <f t="shared" si="709"/>
        <v>0</v>
      </c>
      <c r="AR552" s="379">
        <f t="shared" si="710"/>
        <v>0</v>
      </c>
      <c r="AS552" s="379">
        <f t="shared" si="711"/>
        <v>0</v>
      </c>
      <c r="AT552" s="379">
        <f t="shared" si="712"/>
        <v>0</v>
      </c>
      <c r="AU552" s="379">
        <f t="shared" si="713"/>
        <v>0</v>
      </c>
      <c r="AV552" s="379">
        <f t="shared" si="714"/>
        <v>0</v>
      </c>
      <c r="AW552" s="379">
        <f t="shared" si="715"/>
        <v>0</v>
      </c>
      <c r="AX552" s="379">
        <f t="shared" si="716"/>
        <v>0</v>
      </c>
      <c r="AY552" s="379">
        <f t="shared" si="717"/>
        <v>0</v>
      </c>
    </row>
    <row r="553" spans="1:51" x14ac:dyDescent="0.2">
      <c r="A553" s="376">
        <v>11700</v>
      </c>
      <c r="B553" s="378" t="str">
        <f t="shared" si="670"/>
        <v>Central Darling (A)</v>
      </c>
      <c r="C553" s="377" t="str">
        <f t="shared" si="671"/>
        <v>NetWaste</v>
      </c>
      <c r="D553" s="503" t="str">
        <f t="shared" si="672"/>
        <v>N</v>
      </c>
      <c r="E553" s="503"/>
      <c r="F553"/>
      <c r="G553" s="379">
        <f t="shared" si="673"/>
        <v>2070</v>
      </c>
      <c r="H553" s="379">
        <f t="shared" si="674"/>
        <v>1379</v>
      </c>
      <c r="I553" s="379">
        <f t="shared" si="675"/>
        <v>510</v>
      </c>
      <c r="J553" s="379" t="str">
        <f t="shared" si="676"/>
        <v>Y</v>
      </c>
      <c r="K553" s="379">
        <f t="shared" si="677"/>
        <v>719</v>
      </c>
      <c r="L553" s="379">
        <f t="shared" si="678"/>
        <v>0</v>
      </c>
      <c r="M553" s="379">
        <f t="shared" si="679"/>
        <v>0</v>
      </c>
      <c r="N553" s="379">
        <f t="shared" si="680"/>
        <v>0</v>
      </c>
      <c r="O553" s="379">
        <f t="shared" si="681"/>
        <v>0</v>
      </c>
      <c r="P553" s="379">
        <f t="shared" si="682"/>
        <v>0</v>
      </c>
      <c r="Q553" s="379">
        <f t="shared" si="683"/>
        <v>0</v>
      </c>
      <c r="R553" s="379">
        <f t="shared" si="684"/>
        <v>0</v>
      </c>
      <c r="S553" s="379">
        <f t="shared" si="685"/>
        <v>0</v>
      </c>
      <c r="T553" s="379">
        <f t="shared" si="686"/>
        <v>0</v>
      </c>
      <c r="U553" s="379">
        <f t="shared" si="687"/>
        <v>0</v>
      </c>
      <c r="V553" s="379">
        <f t="shared" si="688"/>
        <v>0</v>
      </c>
      <c r="W553" s="379">
        <f t="shared" si="689"/>
        <v>0</v>
      </c>
      <c r="X553" s="379">
        <f t="shared" si="690"/>
        <v>0</v>
      </c>
      <c r="Y553" s="379">
        <f t="shared" si="691"/>
        <v>0</v>
      </c>
      <c r="Z553" s="379">
        <f t="shared" si="692"/>
        <v>0</v>
      </c>
      <c r="AA553" s="379">
        <f t="shared" si="693"/>
        <v>0</v>
      </c>
      <c r="AB553" s="379">
        <f t="shared" si="694"/>
        <v>0</v>
      </c>
      <c r="AC553" s="379">
        <f t="shared" si="695"/>
        <v>0</v>
      </c>
      <c r="AD553" s="379">
        <f t="shared" si="696"/>
        <v>0</v>
      </c>
      <c r="AE553" s="379">
        <f t="shared" si="697"/>
        <v>0</v>
      </c>
      <c r="AF553" s="379">
        <f t="shared" si="698"/>
        <v>0</v>
      </c>
      <c r="AG553" s="379">
        <f t="shared" si="699"/>
        <v>0</v>
      </c>
      <c r="AH553" s="379">
        <f t="shared" si="700"/>
        <v>0</v>
      </c>
      <c r="AI553" s="379">
        <f t="shared" si="701"/>
        <v>0</v>
      </c>
      <c r="AJ553" s="379">
        <f t="shared" si="702"/>
        <v>0</v>
      </c>
      <c r="AK553" s="379">
        <f t="shared" si="703"/>
        <v>0</v>
      </c>
      <c r="AL553" s="379">
        <f t="shared" si="704"/>
        <v>0</v>
      </c>
      <c r="AM553" s="379">
        <f t="shared" si="705"/>
        <v>0</v>
      </c>
      <c r="AN553" s="490">
        <f t="shared" si="706"/>
        <v>0</v>
      </c>
      <c r="AO553" s="379">
        <f t="shared" si="707"/>
        <v>0</v>
      </c>
      <c r="AP553" s="379">
        <f t="shared" si="708"/>
        <v>0</v>
      </c>
      <c r="AQ553" s="379">
        <f t="shared" si="709"/>
        <v>0</v>
      </c>
      <c r="AR553" s="379">
        <f t="shared" si="710"/>
        <v>0</v>
      </c>
      <c r="AS553" s="379">
        <f t="shared" si="711"/>
        <v>0</v>
      </c>
      <c r="AT553" s="379">
        <f t="shared" si="712"/>
        <v>0</v>
      </c>
      <c r="AU553" s="379">
        <f t="shared" si="713"/>
        <v>0</v>
      </c>
      <c r="AV553" s="379">
        <f t="shared" si="714"/>
        <v>0</v>
      </c>
      <c r="AW553" s="379">
        <f t="shared" si="715"/>
        <v>0</v>
      </c>
      <c r="AX553" s="379">
        <f t="shared" si="716"/>
        <v>0</v>
      </c>
      <c r="AY553" s="379">
        <f t="shared" si="717"/>
        <v>0</v>
      </c>
    </row>
    <row r="554" spans="1:51" x14ac:dyDescent="0.2">
      <c r="A554" s="376">
        <v>11750</v>
      </c>
      <c r="B554" s="378" t="str">
        <f t="shared" si="670"/>
        <v>Cobar (A)</v>
      </c>
      <c r="C554" s="377" t="str">
        <f t="shared" si="671"/>
        <v>NetWaste</v>
      </c>
      <c r="D554" s="503" t="str">
        <f t="shared" si="672"/>
        <v>N</v>
      </c>
      <c r="E554" s="503"/>
      <c r="F554"/>
      <c r="G554" s="379">
        <f t="shared" si="673"/>
        <v>4989</v>
      </c>
      <c r="H554" s="379">
        <f t="shared" si="674"/>
        <v>2691</v>
      </c>
      <c r="I554" s="379">
        <f t="shared" si="675"/>
        <v>225</v>
      </c>
      <c r="J554" s="379" t="str">
        <f t="shared" si="676"/>
        <v>Y</v>
      </c>
      <c r="K554" s="379">
        <f t="shared" si="677"/>
        <v>2488</v>
      </c>
      <c r="L554" s="379">
        <f t="shared" si="678"/>
        <v>0</v>
      </c>
      <c r="M554" s="379">
        <f t="shared" si="679"/>
        <v>0</v>
      </c>
      <c r="N554" s="379">
        <f t="shared" si="680"/>
        <v>0</v>
      </c>
      <c r="O554" s="379">
        <f t="shared" si="681"/>
        <v>0</v>
      </c>
      <c r="P554" s="379">
        <f t="shared" si="682"/>
        <v>0</v>
      </c>
      <c r="Q554" s="379">
        <f t="shared" si="683"/>
        <v>0</v>
      </c>
      <c r="R554" s="379">
        <f t="shared" si="684"/>
        <v>0</v>
      </c>
      <c r="S554" s="379">
        <f t="shared" si="685"/>
        <v>0</v>
      </c>
      <c r="T554" s="379">
        <f t="shared" si="686"/>
        <v>0</v>
      </c>
      <c r="U554" s="379">
        <f t="shared" si="687"/>
        <v>0</v>
      </c>
      <c r="V554" s="379">
        <f t="shared" si="688"/>
        <v>0</v>
      </c>
      <c r="W554" s="379">
        <f t="shared" si="689"/>
        <v>0</v>
      </c>
      <c r="X554" s="379">
        <f t="shared" si="690"/>
        <v>0</v>
      </c>
      <c r="Y554" s="379">
        <f t="shared" si="691"/>
        <v>0</v>
      </c>
      <c r="Z554" s="379">
        <f t="shared" si="692"/>
        <v>0</v>
      </c>
      <c r="AA554" s="379">
        <f t="shared" si="693"/>
        <v>0</v>
      </c>
      <c r="AB554" s="379">
        <f t="shared" si="694"/>
        <v>0</v>
      </c>
      <c r="AC554" s="379">
        <f t="shared" si="695"/>
        <v>0</v>
      </c>
      <c r="AD554" s="379">
        <f t="shared" si="696"/>
        <v>0</v>
      </c>
      <c r="AE554" s="379">
        <f t="shared" si="697"/>
        <v>0</v>
      </c>
      <c r="AF554" s="379">
        <f t="shared" si="698"/>
        <v>0</v>
      </c>
      <c r="AG554" s="379">
        <f t="shared" si="699"/>
        <v>0</v>
      </c>
      <c r="AH554" s="379">
        <f t="shared" si="700"/>
        <v>0</v>
      </c>
      <c r="AI554" s="379">
        <f t="shared" si="701"/>
        <v>0</v>
      </c>
      <c r="AJ554" s="379">
        <f t="shared" si="702"/>
        <v>0</v>
      </c>
      <c r="AK554" s="379">
        <f t="shared" si="703"/>
        <v>0</v>
      </c>
      <c r="AL554" s="379">
        <f t="shared" si="704"/>
        <v>0</v>
      </c>
      <c r="AM554" s="379">
        <f t="shared" si="705"/>
        <v>0</v>
      </c>
      <c r="AN554" s="490">
        <f t="shared" si="706"/>
        <v>0</v>
      </c>
      <c r="AO554" s="379">
        <f t="shared" si="707"/>
        <v>0</v>
      </c>
      <c r="AP554" s="379">
        <f t="shared" si="708"/>
        <v>0</v>
      </c>
      <c r="AQ554" s="379">
        <f t="shared" si="709"/>
        <v>0</v>
      </c>
      <c r="AR554" s="379">
        <f t="shared" si="710"/>
        <v>0</v>
      </c>
      <c r="AS554" s="379">
        <f t="shared" si="711"/>
        <v>0</v>
      </c>
      <c r="AT554" s="379">
        <f t="shared" si="712"/>
        <v>0</v>
      </c>
      <c r="AU554" s="379">
        <f t="shared" si="713"/>
        <v>0</v>
      </c>
      <c r="AV554" s="379">
        <f t="shared" si="714"/>
        <v>0</v>
      </c>
      <c r="AW554" s="379">
        <f t="shared" si="715"/>
        <v>0</v>
      </c>
      <c r="AX554" s="379">
        <f t="shared" si="716"/>
        <v>0</v>
      </c>
      <c r="AY554" s="379">
        <f t="shared" si="717"/>
        <v>0</v>
      </c>
    </row>
    <row r="555" spans="1:51" x14ac:dyDescent="0.2">
      <c r="A555" s="376">
        <v>12150</v>
      </c>
      <c r="B555" s="378" t="str">
        <f t="shared" si="670"/>
        <v>Coonamble (A)</v>
      </c>
      <c r="C555" s="377" t="str">
        <f t="shared" si="671"/>
        <v>NetWaste</v>
      </c>
      <c r="D555" s="503" t="str">
        <f t="shared" si="672"/>
        <v>N</v>
      </c>
      <c r="E555" s="503"/>
      <c r="F555"/>
      <c r="G555" s="379">
        <f t="shared" si="673"/>
        <v>4188</v>
      </c>
      <c r="H555" s="379">
        <f t="shared" si="674"/>
        <v>1577</v>
      </c>
      <c r="I555" s="379">
        <f t="shared" si="675"/>
        <v>280</v>
      </c>
      <c r="J555" s="379" t="str">
        <f t="shared" si="676"/>
        <v>Y</v>
      </c>
      <c r="K555" s="379">
        <f t="shared" si="677"/>
        <v>1468</v>
      </c>
      <c r="L555" s="379">
        <f t="shared" si="678"/>
        <v>0</v>
      </c>
      <c r="M555" s="379">
        <f t="shared" si="679"/>
        <v>0</v>
      </c>
      <c r="N555" s="379">
        <f t="shared" si="680"/>
        <v>0</v>
      </c>
      <c r="O555" s="379">
        <f t="shared" si="681"/>
        <v>0</v>
      </c>
      <c r="P555" s="379">
        <f t="shared" si="682"/>
        <v>0</v>
      </c>
      <c r="Q555" s="379" t="str">
        <f t="shared" si="683"/>
        <v>Y</v>
      </c>
      <c r="R555" s="379" t="str">
        <f t="shared" si="684"/>
        <v>Coonamble</v>
      </c>
      <c r="S555" s="379" t="str">
        <f t="shared" si="685"/>
        <v>Quambone</v>
      </c>
      <c r="T555" s="379">
        <f t="shared" si="686"/>
        <v>0</v>
      </c>
      <c r="U555" s="379">
        <f t="shared" si="687"/>
        <v>0</v>
      </c>
      <c r="V555" s="379">
        <f t="shared" si="688"/>
        <v>0</v>
      </c>
      <c r="W555" s="379">
        <f t="shared" si="689"/>
        <v>0</v>
      </c>
      <c r="X555" s="379">
        <f t="shared" si="690"/>
        <v>0</v>
      </c>
      <c r="Y555" s="379">
        <f t="shared" si="691"/>
        <v>0</v>
      </c>
      <c r="Z555" s="379">
        <f t="shared" si="692"/>
        <v>0</v>
      </c>
      <c r="AA555" s="379">
        <f t="shared" si="693"/>
        <v>0</v>
      </c>
      <c r="AB555" s="379">
        <f t="shared" si="694"/>
        <v>0</v>
      </c>
      <c r="AC555" s="379">
        <f t="shared" si="695"/>
        <v>0</v>
      </c>
      <c r="AD555" s="379">
        <f t="shared" si="696"/>
        <v>0</v>
      </c>
      <c r="AE555" s="379">
        <f t="shared" si="697"/>
        <v>0</v>
      </c>
      <c r="AF555" s="379">
        <f t="shared" si="698"/>
        <v>0</v>
      </c>
      <c r="AG555" s="379">
        <f t="shared" si="699"/>
        <v>0</v>
      </c>
      <c r="AH555" s="379">
        <f t="shared" si="700"/>
        <v>0</v>
      </c>
      <c r="AI555" s="379">
        <f t="shared" si="701"/>
        <v>0</v>
      </c>
      <c r="AJ555" s="379">
        <f t="shared" si="702"/>
        <v>0</v>
      </c>
      <c r="AK555" s="379">
        <f t="shared" si="703"/>
        <v>0</v>
      </c>
      <c r="AL555" s="379">
        <f t="shared" si="704"/>
        <v>0</v>
      </c>
      <c r="AM555" s="379">
        <f t="shared" si="705"/>
        <v>0</v>
      </c>
      <c r="AN555" s="490">
        <f t="shared" si="706"/>
        <v>0</v>
      </c>
      <c r="AO555" s="379">
        <f t="shared" si="707"/>
        <v>0</v>
      </c>
      <c r="AP555" s="379">
        <f t="shared" si="708"/>
        <v>0</v>
      </c>
      <c r="AQ555" s="379">
        <f t="shared" si="709"/>
        <v>0</v>
      </c>
      <c r="AR555" s="379">
        <f t="shared" si="710"/>
        <v>0</v>
      </c>
      <c r="AS555" s="379">
        <f t="shared" si="711"/>
        <v>0</v>
      </c>
      <c r="AT555" s="379">
        <f t="shared" si="712"/>
        <v>0</v>
      </c>
      <c r="AU555" s="379">
        <f t="shared" si="713"/>
        <v>0</v>
      </c>
      <c r="AV555" s="379">
        <f t="shared" si="714"/>
        <v>0</v>
      </c>
      <c r="AW555" s="379">
        <f t="shared" si="715"/>
        <v>0</v>
      </c>
      <c r="AX555" s="379">
        <f t="shared" si="716"/>
        <v>0</v>
      </c>
      <c r="AY555" s="379">
        <f t="shared" si="717"/>
        <v>0</v>
      </c>
    </row>
    <row r="556" spans="1:51" x14ac:dyDescent="0.2">
      <c r="A556" s="376">
        <v>12350</v>
      </c>
      <c r="B556" s="378" t="str">
        <f t="shared" si="670"/>
        <v>Cowra (A)</v>
      </c>
      <c r="C556" s="377" t="str">
        <f t="shared" si="671"/>
        <v>NetWaste</v>
      </c>
      <c r="D556" s="503" t="str">
        <f t="shared" si="672"/>
        <v>N</v>
      </c>
      <c r="E556" s="503"/>
      <c r="F556"/>
      <c r="G556" s="379">
        <f t="shared" si="673"/>
        <v>12527</v>
      </c>
      <c r="H556" s="379">
        <f t="shared" si="674"/>
        <v>4372</v>
      </c>
      <c r="I556" s="379">
        <f t="shared" si="675"/>
        <v>595</v>
      </c>
      <c r="J556" s="379" t="str">
        <f t="shared" si="676"/>
        <v>Y</v>
      </c>
      <c r="K556" s="379">
        <f t="shared" si="677"/>
        <v>4372</v>
      </c>
      <c r="L556" s="379">
        <f t="shared" si="678"/>
        <v>0</v>
      </c>
      <c r="M556" s="379">
        <f t="shared" si="679"/>
        <v>4250</v>
      </c>
      <c r="N556" s="379">
        <f t="shared" si="680"/>
        <v>0</v>
      </c>
      <c r="O556" s="379">
        <f t="shared" si="681"/>
        <v>0</v>
      </c>
      <c r="P556" s="379">
        <f t="shared" si="682"/>
        <v>0</v>
      </c>
      <c r="Q556" s="379" t="str">
        <f t="shared" si="683"/>
        <v>Y</v>
      </c>
      <c r="R556" s="379" t="str">
        <f t="shared" si="684"/>
        <v>Woodstock</v>
      </c>
      <c r="S556" s="379">
        <f t="shared" si="685"/>
        <v>0</v>
      </c>
      <c r="T556" s="379">
        <f t="shared" si="686"/>
        <v>0</v>
      </c>
      <c r="U556" s="379">
        <f t="shared" si="687"/>
        <v>0</v>
      </c>
      <c r="V556" s="379">
        <f t="shared" si="688"/>
        <v>0</v>
      </c>
      <c r="W556" s="379">
        <f t="shared" si="689"/>
        <v>0</v>
      </c>
      <c r="X556" s="379">
        <f t="shared" si="690"/>
        <v>0</v>
      </c>
      <c r="Y556" s="379">
        <f t="shared" si="691"/>
        <v>0</v>
      </c>
      <c r="Z556" s="379">
        <f t="shared" si="692"/>
        <v>0</v>
      </c>
      <c r="AA556" s="379">
        <f t="shared" si="693"/>
        <v>0</v>
      </c>
      <c r="AB556" s="379">
        <f t="shared" si="694"/>
        <v>0</v>
      </c>
      <c r="AC556" s="379">
        <f t="shared" si="695"/>
        <v>0</v>
      </c>
      <c r="AD556" s="379">
        <f t="shared" si="696"/>
        <v>0</v>
      </c>
      <c r="AE556" s="379">
        <f t="shared" si="697"/>
        <v>0</v>
      </c>
      <c r="AF556" s="379">
        <f t="shared" si="698"/>
        <v>0</v>
      </c>
      <c r="AG556" s="379">
        <f t="shared" si="699"/>
        <v>0</v>
      </c>
      <c r="AH556" s="379">
        <f t="shared" si="700"/>
        <v>0</v>
      </c>
      <c r="AI556" s="379">
        <f t="shared" si="701"/>
        <v>0</v>
      </c>
      <c r="AJ556" s="379">
        <f t="shared" si="702"/>
        <v>0</v>
      </c>
      <c r="AK556" s="379">
        <f t="shared" si="703"/>
        <v>0</v>
      </c>
      <c r="AL556" s="379">
        <f t="shared" si="704"/>
        <v>0</v>
      </c>
      <c r="AM556" s="379">
        <f t="shared" si="705"/>
        <v>0</v>
      </c>
      <c r="AN556" s="490">
        <f t="shared" si="706"/>
        <v>0</v>
      </c>
      <c r="AO556" s="379">
        <f t="shared" si="707"/>
        <v>0</v>
      </c>
      <c r="AP556" s="379">
        <f t="shared" si="708"/>
        <v>0</v>
      </c>
      <c r="AQ556" s="379">
        <f t="shared" si="709"/>
        <v>0</v>
      </c>
      <c r="AR556" s="379">
        <f t="shared" si="710"/>
        <v>0</v>
      </c>
      <c r="AS556" s="379">
        <f t="shared" si="711"/>
        <v>0</v>
      </c>
      <c r="AT556" s="379">
        <f t="shared" si="712"/>
        <v>0</v>
      </c>
      <c r="AU556" s="379">
        <f t="shared" si="713"/>
        <v>0</v>
      </c>
      <c r="AV556" s="379">
        <f t="shared" si="714"/>
        <v>0</v>
      </c>
      <c r="AW556" s="379">
        <f t="shared" si="715"/>
        <v>0</v>
      </c>
      <c r="AX556" s="379">
        <f t="shared" si="716"/>
        <v>0</v>
      </c>
      <c r="AY556" s="379">
        <f t="shared" si="717"/>
        <v>0</v>
      </c>
    </row>
    <row r="557" spans="1:51" x14ac:dyDescent="0.2">
      <c r="A557" s="376">
        <v>12900</v>
      </c>
      <c r="B557" s="378" t="str">
        <f t="shared" si="670"/>
        <v>Forbes (A)</v>
      </c>
      <c r="C557" s="377" t="str">
        <f t="shared" si="671"/>
        <v>NetWaste</v>
      </c>
      <c r="D557" s="503" t="str">
        <f t="shared" si="672"/>
        <v>N</v>
      </c>
      <c r="E557" s="503"/>
      <c r="F557"/>
      <c r="G557" s="379">
        <f t="shared" si="673"/>
        <v>9768</v>
      </c>
      <c r="H557" s="379">
        <f t="shared" si="674"/>
        <v>4621</v>
      </c>
      <c r="I557" s="379">
        <f t="shared" si="675"/>
        <v>455</v>
      </c>
      <c r="J557" s="379" t="str">
        <f t="shared" si="676"/>
        <v>Y</v>
      </c>
      <c r="K557" s="379">
        <f t="shared" si="677"/>
        <v>4172</v>
      </c>
      <c r="L557" s="379">
        <f t="shared" si="678"/>
        <v>0</v>
      </c>
      <c r="M557" s="379">
        <f t="shared" si="679"/>
        <v>3659</v>
      </c>
      <c r="N557" s="379">
        <f t="shared" si="680"/>
        <v>0</v>
      </c>
      <c r="O557" s="379">
        <f t="shared" si="681"/>
        <v>3279</v>
      </c>
      <c r="P557" s="379" t="str">
        <f t="shared" si="682"/>
        <v>Y</v>
      </c>
      <c r="Q557" s="379" t="str">
        <f t="shared" si="683"/>
        <v>Y</v>
      </c>
      <c r="R557" s="379" t="str">
        <f t="shared" si="684"/>
        <v>Daroobalgie</v>
      </c>
      <c r="S557" s="379">
        <f t="shared" si="685"/>
        <v>0</v>
      </c>
      <c r="T557" s="379">
        <f t="shared" si="686"/>
        <v>0</v>
      </c>
      <c r="U557" s="379">
        <f t="shared" si="687"/>
        <v>0</v>
      </c>
      <c r="V557" s="379">
        <f t="shared" si="688"/>
        <v>0</v>
      </c>
      <c r="W557" s="379">
        <f t="shared" si="689"/>
        <v>0</v>
      </c>
      <c r="X557" s="379">
        <f t="shared" si="690"/>
        <v>0</v>
      </c>
      <c r="Y557" s="379">
        <f t="shared" si="691"/>
        <v>0</v>
      </c>
      <c r="Z557" s="379">
        <f t="shared" si="692"/>
        <v>0</v>
      </c>
      <c r="AA557" s="379">
        <f t="shared" si="693"/>
        <v>0</v>
      </c>
      <c r="AB557" s="379">
        <f t="shared" si="694"/>
        <v>0</v>
      </c>
      <c r="AC557" s="379">
        <f t="shared" si="695"/>
        <v>0</v>
      </c>
      <c r="AD557" s="379">
        <f t="shared" si="696"/>
        <v>0</v>
      </c>
      <c r="AE557" s="379">
        <f t="shared" si="697"/>
        <v>0</v>
      </c>
      <c r="AF557" s="379">
        <f t="shared" si="698"/>
        <v>0</v>
      </c>
      <c r="AG557" s="379">
        <f t="shared" si="699"/>
        <v>0</v>
      </c>
      <c r="AH557" s="379">
        <f t="shared" si="700"/>
        <v>0</v>
      </c>
      <c r="AI557" s="379">
        <f t="shared" si="701"/>
        <v>0</v>
      </c>
      <c r="AJ557" s="379">
        <f t="shared" si="702"/>
        <v>0</v>
      </c>
      <c r="AK557" s="379">
        <f t="shared" si="703"/>
        <v>0</v>
      </c>
      <c r="AL557" s="379">
        <f t="shared" si="704"/>
        <v>0</v>
      </c>
      <c r="AM557" s="379">
        <f t="shared" si="705"/>
        <v>0</v>
      </c>
      <c r="AN557" s="490">
        <f t="shared" si="706"/>
        <v>0</v>
      </c>
      <c r="AO557" s="379">
        <f t="shared" si="707"/>
        <v>0</v>
      </c>
      <c r="AP557" s="379">
        <f t="shared" si="708"/>
        <v>0</v>
      </c>
      <c r="AQ557" s="379">
        <f t="shared" si="709"/>
        <v>0</v>
      </c>
      <c r="AR557" s="379">
        <f t="shared" si="710"/>
        <v>0</v>
      </c>
      <c r="AS557" s="379">
        <f t="shared" si="711"/>
        <v>0</v>
      </c>
      <c r="AT557" s="379">
        <f t="shared" si="712"/>
        <v>0</v>
      </c>
      <c r="AU557" s="379">
        <f t="shared" si="713"/>
        <v>0</v>
      </c>
      <c r="AV557" s="379">
        <f t="shared" si="714"/>
        <v>0</v>
      </c>
      <c r="AW557" s="379">
        <f t="shared" si="715"/>
        <v>0</v>
      </c>
      <c r="AX557" s="379">
        <f t="shared" si="716"/>
        <v>0</v>
      </c>
      <c r="AY557" s="379">
        <f t="shared" si="717"/>
        <v>0</v>
      </c>
    </row>
    <row r="558" spans="1:51" x14ac:dyDescent="0.2">
      <c r="A558" s="376">
        <v>12950</v>
      </c>
      <c r="B558" s="378" t="str">
        <f t="shared" si="670"/>
        <v>Gilgandra (A)</v>
      </c>
      <c r="C558" s="377" t="str">
        <f t="shared" si="671"/>
        <v>NetWaste</v>
      </c>
      <c r="D558" s="503" t="str">
        <f t="shared" si="672"/>
        <v>N</v>
      </c>
      <c r="E558" s="503"/>
      <c r="F558"/>
      <c r="G558" s="379">
        <f t="shared" si="673"/>
        <v>4349</v>
      </c>
      <c r="H558" s="379">
        <f t="shared" si="674"/>
        <v>2097</v>
      </c>
      <c r="I558" s="379">
        <f t="shared" si="675"/>
        <v>379</v>
      </c>
      <c r="J558" s="379" t="str">
        <f t="shared" si="676"/>
        <v>Y</v>
      </c>
      <c r="K558" s="379">
        <f t="shared" si="677"/>
        <v>1069</v>
      </c>
      <c r="L558" s="379">
        <f t="shared" si="678"/>
        <v>0</v>
      </c>
      <c r="M558" s="379">
        <f t="shared" si="679"/>
        <v>1069</v>
      </c>
      <c r="N558" s="379">
        <f t="shared" si="680"/>
        <v>0</v>
      </c>
      <c r="O558" s="379">
        <f t="shared" si="681"/>
        <v>0</v>
      </c>
      <c r="P558" s="379">
        <f t="shared" si="682"/>
        <v>0</v>
      </c>
      <c r="Q558" s="379" t="str">
        <f t="shared" si="683"/>
        <v>Y</v>
      </c>
      <c r="R558" s="379" t="str">
        <f t="shared" si="684"/>
        <v>Gilgandra Waste Facility:Scrap steel</v>
      </c>
      <c r="S558" s="379" t="str">
        <f t="shared" si="685"/>
        <v>Tooraweenah Recycling Drop-off</v>
      </c>
      <c r="T558" s="379" t="str">
        <f t="shared" si="686"/>
        <v>Armatree Recycling Drop-off</v>
      </c>
      <c r="U558" s="379" t="str">
        <f t="shared" si="687"/>
        <v>Gilgandra Waste Facility: rural recycling</v>
      </c>
      <c r="V558" s="379">
        <f t="shared" si="688"/>
        <v>0</v>
      </c>
      <c r="W558" s="379">
        <f t="shared" si="689"/>
        <v>0</v>
      </c>
      <c r="X558" s="379">
        <f t="shared" si="690"/>
        <v>0</v>
      </c>
      <c r="Y558" s="379">
        <f t="shared" si="691"/>
        <v>0</v>
      </c>
      <c r="Z558" s="379">
        <f t="shared" si="692"/>
        <v>0</v>
      </c>
      <c r="AA558" s="379">
        <f t="shared" si="693"/>
        <v>0</v>
      </c>
      <c r="AB558" s="379">
        <f t="shared" si="694"/>
        <v>0</v>
      </c>
      <c r="AC558" s="379">
        <f t="shared" si="695"/>
        <v>0</v>
      </c>
      <c r="AD558" s="379">
        <f t="shared" si="696"/>
        <v>0</v>
      </c>
      <c r="AE558" s="379">
        <f t="shared" si="697"/>
        <v>0</v>
      </c>
      <c r="AF558" s="379">
        <f t="shared" si="698"/>
        <v>0</v>
      </c>
      <c r="AG558" s="379">
        <f t="shared" si="699"/>
        <v>0</v>
      </c>
      <c r="AH558" s="379">
        <f t="shared" si="700"/>
        <v>0</v>
      </c>
      <c r="AI558" s="379">
        <f t="shared" si="701"/>
        <v>0</v>
      </c>
      <c r="AJ558" s="379">
        <f t="shared" si="702"/>
        <v>0</v>
      </c>
      <c r="AK558" s="379">
        <f t="shared" si="703"/>
        <v>0</v>
      </c>
      <c r="AL558" s="379">
        <f t="shared" si="704"/>
        <v>0</v>
      </c>
      <c r="AM558" s="379">
        <f t="shared" si="705"/>
        <v>0</v>
      </c>
      <c r="AN558" s="490">
        <f t="shared" si="706"/>
        <v>0</v>
      </c>
      <c r="AO558" s="379">
        <f t="shared" si="707"/>
        <v>0</v>
      </c>
      <c r="AP558" s="379">
        <f t="shared" si="708"/>
        <v>0</v>
      </c>
      <c r="AQ558" s="379">
        <f t="shared" si="709"/>
        <v>0</v>
      </c>
      <c r="AR558" s="379">
        <f t="shared" si="710"/>
        <v>0</v>
      </c>
      <c r="AS558" s="379">
        <f t="shared" si="711"/>
        <v>0</v>
      </c>
      <c r="AT558" s="379">
        <f t="shared" si="712"/>
        <v>0</v>
      </c>
      <c r="AU558" s="379">
        <f t="shared" si="713"/>
        <v>0</v>
      </c>
      <c r="AV558" s="379">
        <f t="shared" si="714"/>
        <v>0</v>
      </c>
      <c r="AW558" s="379">
        <f t="shared" si="715"/>
        <v>0</v>
      </c>
      <c r="AX558" s="379">
        <f t="shared" si="716"/>
        <v>0</v>
      </c>
      <c r="AY558" s="379">
        <f t="shared" si="717"/>
        <v>0</v>
      </c>
    </row>
    <row r="559" spans="1:51" x14ac:dyDescent="0.2">
      <c r="A559" s="376">
        <v>14600</v>
      </c>
      <c r="B559" s="378" t="str">
        <f t="shared" si="670"/>
        <v>Lachlan (A)</v>
      </c>
      <c r="C559" s="377" t="str">
        <f t="shared" si="671"/>
        <v>NetWaste</v>
      </c>
      <c r="D559" s="503" t="str">
        <f t="shared" si="672"/>
        <v>N</v>
      </c>
      <c r="E559" s="503"/>
      <c r="F559"/>
      <c r="G559" s="379">
        <f t="shared" si="673"/>
        <v>6749</v>
      </c>
      <c r="H559" s="379">
        <f t="shared" si="674"/>
        <v>4164</v>
      </c>
      <c r="I559" s="379">
        <f t="shared" si="675"/>
        <v>326</v>
      </c>
      <c r="J559" s="379" t="str">
        <f t="shared" si="676"/>
        <v>Y</v>
      </c>
      <c r="K559" s="379">
        <f t="shared" si="677"/>
        <v>2647</v>
      </c>
      <c r="L559" s="379">
        <f t="shared" si="678"/>
        <v>0</v>
      </c>
      <c r="M559" s="379">
        <f t="shared" si="679"/>
        <v>2619</v>
      </c>
      <c r="N559" s="379">
        <f t="shared" si="680"/>
        <v>1272</v>
      </c>
      <c r="O559" s="379">
        <f t="shared" si="681"/>
        <v>0</v>
      </c>
      <c r="P559" s="379">
        <f t="shared" si="682"/>
        <v>0</v>
      </c>
      <c r="Q559" s="379" t="str">
        <f t="shared" si="683"/>
        <v>Y</v>
      </c>
      <c r="R559" s="379" t="str">
        <f t="shared" si="684"/>
        <v xml:space="preserve">Condobolin </v>
      </c>
      <c r="S559" s="379" t="str">
        <f t="shared" si="685"/>
        <v xml:space="preserve">Lake Cargelligo </v>
      </c>
      <c r="T559" s="379" t="str">
        <f t="shared" si="686"/>
        <v xml:space="preserve">Burcher </v>
      </c>
      <c r="U559" s="379" t="str">
        <f t="shared" si="687"/>
        <v>Tuliibigeal</v>
      </c>
      <c r="V559" s="379" t="str">
        <f t="shared" si="688"/>
        <v xml:space="preserve">Tottenham </v>
      </c>
      <c r="W559" s="379">
        <f t="shared" si="689"/>
        <v>0</v>
      </c>
      <c r="X559" s="379">
        <f t="shared" si="690"/>
        <v>0</v>
      </c>
      <c r="Y559" s="379">
        <f t="shared" si="691"/>
        <v>0</v>
      </c>
      <c r="Z559" s="379">
        <f t="shared" si="692"/>
        <v>0</v>
      </c>
      <c r="AA559" s="379">
        <f t="shared" si="693"/>
        <v>0</v>
      </c>
      <c r="AB559" s="379">
        <f t="shared" si="694"/>
        <v>0</v>
      </c>
      <c r="AC559" s="379">
        <f t="shared" si="695"/>
        <v>0</v>
      </c>
      <c r="AD559" s="379">
        <f t="shared" si="696"/>
        <v>0</v>
      </c>
      <c r="AE559" s="379">
        <f t="shared" si="697"/>
        <v>0</v>
      </c>
      <c r="AF559" s="379">
        <f t="shared" si="698"/>
        <v>0</v>
      </c>
      <c r="AG559" s="379">
        <f t="shared" si="699"/>
        <v>0</v>
      </c>
      <c r="AH559" s="379">
        <f t="shared" si="700"/>
        <v>0</v>
      </c>
      <c r="AI559" s="379">
        <f t="shared" si="701"/>
        <v>0</v>
      </c>
      <c r="AJ559" s="379">
        <f t="shared" si="702"/>
        <v>0</v>
      </c>
      <c r="AK559" s="379">
        <f t="shared" si="703"/>
        <v>0</v>
      </c>
      <c r="AL559" s="379">
        <f t="shared" si="704"/>
        <v>0</v>
      </c>
      <c r="AM559" s="379">
        <f t="shared" si="705"/>
        <v>0</v>
      </c>
      <c r="AN559" s="490">
        <f t="shared" si="706"/>
        <v>0</v>
      </c>
      <c r="AO559" s="379">
        <f t="shared" si="707"/>
        <v>0</v>
      </c>
      <c r="AP559" s="379">
        <f t="shared" si="708"/>
        <v>0</v>
      </c>
      <c r="AQ559" s="379">
        <f t="shared" si="709"/>
        <v>0</v>
      </c>
      <c r="AR559" s="379">
        <f t="shared" si="710"/>
        <v>0</v>
      </c>
      <c r="AS559" s="379">
        <f t="shared" si="711"/>
        <v>0</v>
      </c>
      <c r="AT559" s="379">
        <f t="shared" si="712"/>
        <v>0</v>
      </c>
      <c r="AU559" s="379">
        <f t="shared" si="713"/>
        <v>0</v>
      </c>
      <c r="AV559" s="379">
        <f t="shared" si="714"/>
        <v>0</v>
      </c>
      <c r="AW559" s="379">
        <f t="shared" si="715"/>
        <v>0</v>
      </c>
      <c r="AX559" s="379">
        <f t="shared" si="716"/>
        <v>0</v>
      </c>
      <c r="AY559" s="379">
        <f t="shared" si="717"/>
        <v>0</v>
      </c>
    </row>
    <row r="560" spans="1:51" x14ac:dyDescent="0.2">
      <c r="A560" s="376">
        <v>14870</v>
      </c>
      <c r="B560" s="378" t="str">
        <f t="shared" si="670"/>
        <v>Lithgow (C)</v>
      </c>
      <c r="C560" s="377" t="str">
        <f t="shared" si="671"/>
        <v>NetWaste</v>
      </c>
      <c r="D560" s="503" t="str">
        <f t="shared" si="672"/>
        <v>N</v>
      </c>
      <c r="E560" s="503"/>
      <c r="F560"/>
      <c r="G560" s="379">
        <f t="shared" si="673"/>
        <v>21474</v>
      </c>
      <c r="H560" s="379">
        <f t="shared" si="674"/>
        <v>11338</v>
      </c>
      <c r="I560" s="379">
        <f t="shared" si="675"/>
        <v>383.73</v>
      </c>
      <c r="J560" s="379" t="str">
        <f t="shared" si="676"/>
        <v>Y</v>
      </c>
      <c r="K560" s="379">
        <f t="shared" si="677"/>
        <v>9155</v>
      </c>
      <c r="L560" s="379">
        <f t="shared" si="678"/>
        <v>0</v>
      </c>
      <c r="M560" s="379">
        <f t="shared" si="679"/>
        <v>9150</v>
      </c>
      <c r="N560" s="379">
        <f t="shared" si="680"/>
        <v>0</v>
      </c>
      <c r="O560" s="379">
        <f t="shared" si="681"/>
        <v>0</v>
      </c>
      <c r="P560" s="379" t="str">
        <f t="shared" si="682"/>
        <v>Y</v>
      </c>
      <c r="Q560" s="379" t="str">
        <f t="shared" si="683"/>
        <v>Y</v>
      </c>
      <c r="R560" s="379" t="str">
        <f t="shared" si="684"/>
        <v>Lithgow SWF</v>
      </c>
      <c r="S560" s="379" t="str">
        <f t="shared" si="685"/>
        <v>Portland Garbage Depot</v>
      </c>
      <c r="T560" s="379" t="str">
        <f t="shared" si="686"/>
        <v>Wallerawang Garbage Depot</v>
      </c>
      <c r="U560" s="379" t="str">
        <f t="shared" si="687"/>
        <v>Cullen Bullen Garbage Depot</v>
      </c>
      <c r="V560" s="379" t="str">
        <f t="shared" si="688"/>
        <v>Capertee Garbage Depot</v>
      </c>
      <c r="W560" s="379" t="str">
        <f t="shared" si="689"/>
        <v>Glen Davis Garbage Depot</v>
      </c>
      <c r="X560" s="379">
        <f t="shared" si="690"/>
        <v>0</v>
      </c>
      <c r="Y560" s="379">
        <f t="shared" si="691"/>
        <v>0</v>
      </c>
      <c r="Z560" s="379">
        <f t="shared" si="692"/>
        <v>0</v>
      </c>
      <c r="AA560" s="379">
        <f t="shared" si="693"/>
        <v>0</v>
      </c>
      <c r="AB560" s="379">
        <f t="shared" si="694"/>
        <v>0</v>
      </c>
      <c r="AC560" s="379">
        <f t="shared" si="695"/>
        <v>0</v>
      </c>
      <c r="AD560" s="379">
        <f t="shared" si="696"/>
        <v>0</v>
      </c>
      <c r="AE560" s="379">
        <f t="shared" si="697"/>
        <v>0</v>
      </c>
      <c r="AF560" s="379">
        <f t="shared" si="698"/>
        <v>0</v>
      </c>
      <c r="AG560" s="379">
        <f t="shared" si="699"/>
        <v>0</v>
      </c>
      <c r="AH560" s="379">
        <f t="shared" si="700"/>
        <v>0</v>
      </c>
      <c r="AI560" s="379">
        <f t="shared" si="701"/>
        <v>0</v>
      </c>
      <c r="AJ560" s="379">
        <f t="shared" si="702"/>
        <v>0</v>
      </c>
      <c r="AK560" s="379">
        <f t="shared" si="703"/>
        <v>0</v>
      </c>
      <c r="AL560" s="379">
        <f t="shared" si="704"/>
        <v>0</v>
      </c>
      <c r="AM560" s="379">
        <f t="shared" si="705"/>
        <v>0</v>
      </c>
      <c r="AN560" s="490">
        <f t="shared" si="706"/>
        <v>0</v>
      </c>
      <c r="AO560" s="379">
        <f t="shared" si="707"/>
        <v>0</v>
      </c>
      <c r="AP560" s="379">
        <f t="shared" si="708"/>
        <v>0</v>
      </c>
      <c r="AQ560" s="379">
        <f t="shared" si="709"/>
        <v>0</v>
      </c>
      <c r="AR560" s="379">
        <f t="shared" si="710"/>
        <v>0</v>
      </c>
      <c r="AS560" s="379">
        <f t="shared" si="711"/>
        <v>0</v>
      </c>
      <c r="AT560" s="379">
        <f t="shared" si="712"/>
        <v>0</v>
      </c>
      <c r="AU560" s="379">
        <f t="shared" si="713"/>
        <v>0</v>
      </c>
      <c r="AV560" s="379">
        <f t="shared" si="714"/>
        <v>0</v>
      </c>
      <c r="AW560" s="379">
        <f t="shared" si="715"/>
        <v>0</v>
      </c>
      <c r="AX560" s="379">
        <f t="shared" si="716"/>
        <v>0</v>
      </c>
      <c r="AY560" s="379">
        <f t="shared" si="717"/>
        <v>0</v>
      </c>
    </row>
    <row r="561" spans="1:51" x14ac:dyDescent="0.2">
      <c r="A561" s="376">
        <v>15270</v>
      </c>
      <c r="B561" s="378" t="str">
        <f t="shared" si="670"/>
        <v>Mid-Western Regional (A)</v>
      </c>
      <c r="C561" s="377" t="str">
        <f t="shared" si="671"/>
        <v>NetWaste</v>
      </c>
      <c r="D561" s="503" t="str">
        <f t="shared" si="672"/>
        <v>N</v>
      </c>
      <c r="E561" s="503"/>
      <c r="F561"/>
      <c r="G561" s="379">
        <f t="shared" si="673"/>
        <v>24313</v>
      </c>
      <c r="H561" s="379">
        <f t="shared" si="674"/>
        <v>13192</v>
      </c>
      <c r="I561" s="379">
        <f t="shared" si="675"/>
        <v>171</v>
      </c>
      <c r="J561" s="379" t="str">
        <f t="shared" si="676"/>
        <v>Y</v>
      </c>
      <c r="K561" s="379">
        <f t="shared" si="677"/>
        <v>7666</v>
      </c>
      <c r="L561" s="379">
        <f t="shared" si="678"/>
        <v>0</v>
      </c>
      <c r="M561" s="379">
        <f t="shared" si="679"/>
        <v>7666</v>
      </c>
      <c r="N561" s="379">
        <f t="shared" si="680"/>
        <v>0</v>
      </c>
      <c r="O561" s="379">
        <f t="shared" si="681"/>
        <v>0</v>
      </c>
      <c r="P561" s="379">
        <f t="shared" si="682"/>
        <v>0</v>
      </c>
      <c r="Q561" s="379" t="str">
        <f t="shared" si="683"/>
        <v>Y</v>
      </c>
      <c r="R561" s="379" t="str">
        <f t="shared" si="684"/>
        <v>Kandos Waste Transfer Station</v>
      </c>
      <c r="S561" s="379" t="str">
        <f t="shared" si="685"/>
        <v>Mudgee Waste Facility</v>
      </c>
      <c r="T561" s="379" t="str">
        <f t="shared" si="686"/>
        <v>Other Waste Transfers x 13</v>
      </c>
      <c r="U561" s="379">
        <f t="shared" si="687"/>
        <v>0</v>
      </c>
      <c r="V561" s="379">
        <f t="shared" si="688"/>
        <v>0</v>
      </c>
      <c r="W561" s="379">
        <f t="shared" si="689"/>
        <v>0</v>
      </c>
      <c r="X561" s="379">
        <f t="shared" si="690"/>
        <v>0</v>
      </c>
      <c r="Y561" s="379">
        <f t="shared" si="691"/>
        <v>0</v>
      </c>
      <c r="Z561" s="379">
        <f t="shared" si="692"/>
        <v>0</v>
      </c>
      <c r="AA561" s="379">
        <f t="shared" si="693"/>
        <v>0</v>
      </c>
      <c r="AB561" s="379">
        <f t="shared" si="694"/>
        <v>0</v>
      </c>
      <c r="AC561" s="379">
        <f t="shared" si="695"/>
        <v>0</v>
      </c>
      <c r="AD561" s="379">
        <f t="shared" si="696"/>
        <v>0</v>
      </c>
      <c r="AE561" s="379">
        <f t="shared" si="697"/>
        <v>0</v>
      </c>
      <c r="AF561" s="379">
        <f t="shared" si="698"/>
        <v>0</v>
      </c>
      <c r="AG561" s="379">
        <f t="shared" si="699"/>
        <v>0</v>
      </c>
      <c r="AH561" s="379">
        <f t="shared" si="700"/>
        <v>0</v>
      </c>
      <c r="AI561" s="379">
        <f t="shared" si="701"/>
        <v>0</v>
      </c>
      <c r="AJ561" s="379">
        <f t="shared" si="702"/>
        <v>0</v>
      </c>
      <c r="AK561" s="379">
        <f t="shared" si="703"/>
        <v>0</v>
      </c>
      <c r="AL561" s="379">
        <f t="shared" si="704"/>
        <v>0</v>
      </c>
      <c r="AM561" s="379">
        <f t="shared" si="705"/>
        <v>0</v>
      </c>
      <c r="AN561" s="490">
        <f t="shared" si="706"/>
        <v>0</v>
      </c>
      <c r="AO561" s="379">
        <f t="shared" si="707"/>
        <v>0</v>
      </c>
      <c r="AP561" s="379">
        <f t="shared" si="708"/>
        <v>0</v>
      </c>
      <c r="AQ561" s="379">
        <f t="shared" si="709"/>
        <v>0</v>
      </c>
      <c r="AR561" s="379">
        <f t="shared" si="710"/>
        <v>0</v>
      </c>
      <c r="AS561" s="379">
        <f t="shared" si="711"/>
        <v>0</v>
      </c>
      <c r="AT561" s="379">
        <f t="shared" si="712"/>
        <v>0</v>
      </c>
      <c r="AU561" s="379">
        <f t="shared" si="713"/>
        <v>0</v>
      </c>
      <c r="AV561" s="379">
        <f t="shared" si="714"/>
        <v>0</v>
      </c>
      <c r="AW561" s="379">
        <f t="shared" si="715"/>
        <v>0</v>
      </c>
      <c r="AX561" s="379">
        <f t="shared" si="716"/>
        <v>0</v>
      </c>
      <c r="AY561" s="379">
        <f t="shared" si="717"/>
        <v>0</v>
      </c>
    </row>
    <row r="562" spans="1:51" x14ac:dyDescent="0.2">
      <c r="A562" s="376">
        <v>15850</v>
      </c>
      <c r="B562" s="378" t="str">
        <f t="shared" si="670"/>
        <v>Narromine (A)</v>
      </c>
      <c r="C562" s="377" t="str">
        <f t="shared" si="671"/>
        <v>NetWaste</v>
      </c>
      <c r="D562" s="503" t="str">
        <f t="shared" si="672"/>
        <v>N</v>
      </c>
      <c r="E562" s="503"/>
      <c r="F562"/>
      <c r="G562" s="379">
        <f t="shared" si="673"/>
        <v>6796</v>
      </c>
      <c r="H562" s="379">
        <f t="shared" si="674"/>
        <v>2172</v>
      </c>
      <c r="I562" s="379">
        <f t="shared" si="675"/>
        <v>371</v>
      </c>
      <c r="J562" s="379" t="str">
        <f t="shared" si="676"/>
        <v>Y</v>
      </c>
      <c r="K562" s="379">
        <f t="shared" si="677"/>
        <v>2172</v>
      </c>
      <c r="L562" s="379">
        <f t="shared" si="678"/>
        <v>0</v>
      </c>
      <c r="M562" s="379">
        <f t="shared" si="679"/>
        <v>2049</v>
      </c>
      <c r="N562" s="379">
        <f t="shared" si="680"/>
        <v>0</v>
      </c>
      <c r="O562" s="379">
        <f t="shared" si="681"/>
        <v>0</v>
      </c>
      <c r="P562" s="379">
        <f t="shared" si="682"/>
        <v>0</v>
      </c>
      <c r="Q562" s="379" t="str">
        <f t="shared" si="683"/>
        <v>Y</v>
      </c>
      <c r="R562" s="379" t="str">
        <f t="shared" si="684"/>
        <v>Narromine Waste Facility</v>
      </c>
      <c r="S562" s="379">
        <f t="shared" si="685"/>
        <v>0</v>
      </c>
      <c r="T562" s="379">
        <f t="shared" si="686"/>
        <v>0</v>
      </c>
      <c r="U562" s="379">
        <f t="shared" si="687"/>
        <v>0</v>
      </c>
      <c r="V562" s="379">
        <f t="shared" si="688"/>
        <v>0</v>
      </c>
      <c r="W562" s="379">
        <f t="shared" si="689"/>
        <v>0</v>
      </c>
      <c r="X562" s="379">
        <f t="shared" si="690"/>
        <v>0</v>
      </c>
      <c r="Y562" s="379">
        <f t="shared" si="691"/>
        <v>0</v>
      </c>
      <c r="Z562" s="379">
        <f t="shared" si="692"/>
        <v>0</v>
      </c>
      <c r="AA562" s="379">
        <f t="shared" si="693"/>
        <v>0</v>
      </c>
      <c r="AB562" s="379">
        <f t="shared" si="694"/>
        <v>0</v>
      </c>
      <c r="AC562" s="379">
        <f t="shared" si="695"/>
        <v>0</v>
      </c>
      <c r="AD562" s="379">
        <f t="shared" si="696"/>
        <v>0</v>
      </c>
      <c r="AE562" s="379">
        <f t="shared" si="697"/>
        <v>0</v>
      </c>
      <c r="AF562" s="379">
        <f t="shared" si="698"/>
        <v>0</v>
      </c>
      <c r="AG562" s="379">
        <f t="shared" si="699"/>
        <v>0</v>
      </c>
      <c r="AH562" s="379">
        <f t="shared" si="700"/>
        <v>0</v>
      </c>
      <c r="AI562" s="379">
        <f t="shared" si="701"/>
        <v>0</v>
      </c>
      <c r="AJ562" s="379">
        <f t="shared" si="702"/>
        <v>0</v>
      </c>
      <c r="AK562" s="379">
        <f t="shared" si="703"/>
        <v>0</v>
      </c>
      <c r="AL562" s="379">
        <f t="shared" si="704"/>
        <v>0</v>
      </c>
      <c r="AM562" s="379">
        <f t="shared" si="705"/>
        <v>0</v>
      </c>
      <c r="AN562" s="490">
        <f t="shared" si="706"/>
        <v>0</v>
      </c>
      <c r="AO562" s="379">
        <f t="shared" si="707"/>
        <v>0</v>
      </c>
      <c r="AP562" s="379">
        <f t="shared" si="708"/>
        <v>0</v>
      </c>
      <c r="AQ562" s="379">
        <f t="shared" si="709"/>
        <v>0</v>
      </c>
      <c r="AR562" s="379">
        <f t="shared" si="710"/>
        <v>0</v>
      </c>
      <c r="AS562" s="379">
        <f t="shared" si="711"/>
        <v>0</v>
      </c>
      <c r="AT562" s="379">
        <f t="shared" si="712"/>
        <v>0</v>
      </c>
      <c r="AU562" s="379">
        <f t="shared" si="713"/>
        <v>0</v>
      </c>
      <c r="AV562" s="379">
        <f t="shared" si="714"/>
        <v>0</v>
      </c>
      <c r="AW562" s="379">
        <f t="shared" si="715"/>
        <v>0</v>
      </c>
      <c r="AX562" s="379">
        <f t="shared" si="716"/>
        <v>0</v>
      </c>
      <c r="AY562" s="379">
        <f t="shared" si="717"/>
        <v>0</v>
      </c>
    </row>
    <row r="563" spans="1:51" x14ac:dyDescent="0.2">
      <c r="A563" s="376">
        <v>16100</v>
      </c>
      <c r="B563" s="378" t="str">
        <f t="shared" si="670"/>
        <v>Oberon (A)</v>
      </c>
      <c r="C563" s="377" t="str">
        <f t="shared" si="671"/>
        <v>NetWaste</v>
      </c>
      <c r="D563" s="503" t="str">
        <f t="shared" si="672"/>
        <v>N</v>
      </c>
      <c r="E563" s="503"/>
      <c r="F563"/>
      <c r="G563" s="379">
        <f t="shared" si="673"/>
        <v>5350</v>
      </c>
      <c r="H563" s="379">
        <f t="shared" si="674"/>
        <v>3733</v>
      </c>
      <c r="I563" s="379">
        <f t="shared" si="675"/>
        <v>200</v>
      </c>
      <c r="J563" s="379" t="str">
        <f t="shared" si="676"/>
        <v>Y</v>
      </c>
      <c r="K563" s="379">
        <f t="shared" si="677"/>
        <v>1202</v>
      </c>
      <c r="L563" s="379">
        <f t="shared" si="678"/>
        <v>0</v>
      </c>
      <c r="M563" s="379">
        <f t="shared" si="679"/>
        <v>0</v>
      </c>
      <c r="N563" s="379">
        <f t="shared" si="680"/>
        <v>0</v>
      </c>
      <c r="O563" s="379">
        <f t="shared" si="681"/>
        <v>0</v>
      </c>
      <c r="P563" s="379" t="str">
        <f t="shared" si="682"/>
        <v>Y</v>
      </c>
      <c r="Q563" s="379" t="str">
        <f t="shared" si="683"/>
        <v>Y</v>
      </c>
      <c r="R563" s="379" t="str">
        <f t="shared" si="684"/>
        <v>Oberon Waste Depot</v>
      </c>
      <c r="S563" s="379" t="str">
        <f t="shared" si="685"/>
        <v>Burraga</v>
      </c>
      <c r="T563" s="379" t="str">
        <f t="shared" si="686"/>
        <v>Black Springs</v>
      </c>
      <c r="U563" s="379">
        <f t="shared" si="687"/>
        <v>0</v>
      </c>
      <c r="V563" s="379">
        <f t="shared" si="688"/>
        <v>0</v>
      </c>
      <c r="W563" s="379">
        <f t="shared" si="689"/>
        <v>0</v>
      </c>
      <c r="X563" s="379">
        <f t="shared" si="690"/>
        <v>0</v>
      </c>
      <c r="Y563" s="379">
        <f t="shared" si="691"/>
        <v>0</v>
      </c>
      <c r="Z563" s="379">
        <f t="shared" si="692"/>
        <v>0</v>
      </c>
      <c r="AA563" s="379">
        <f t="shared" si="693"/>
        <v>0</v>
      </c>
      <c r="AB563" s="379">
        <f t="shared" si="694"/>
        <v>0</v>
      </c>
      <c r="AC563" s="379">
        <f t="shared" si="695"/>
        <v>0</v>
      </c>
      <c r="AD563" s="379">
        <f t="shared" si="696"/>
        <v>0</v>
      </c>
      <c r="AE563" s="379">
        <f t="shared" si="697"/>
        <v>0</v>
      </c>
      <c r="AF563" s="379">
        <f t="shared" si="698"/>
        <v>0</v>
      </c>
      <c r="AG563" s="379">
        <f t="shared" si="699"/>
        <v>0</v>
      </c>
      <c r="AH563" s="379">
        <f t="shared" si="700"/>
        <v>0</v>
      </c>
      <c r="AI563" s="379">
        <f t="shared" si="701"/>
        <v>0</v>
      </c>
      <c r="AJ563" s="379">
        <f t="shared" si="702"/>
        <v>0</v>
      </c>
      <c r="AK563" s="379">
        <f t="shared" si="703"/>
        <v>0</v>
      </c>
      <c r="AL563" s="379">
        <f t="shared" si="704"/>
        <v>0</v>
      </c>
      <c r="AM563" s="379">
        <f t="shared" si="705"/>
        <v>0</v>
      </c>
      <c r="AN563" s="490">
        <f t="shared" si="706"/>
        <v>0</v>
      </c>
      <c r="AO563" s="379">
        <f t="shared" si="707"/>
        <v>0</v>
      </c>
      <c r="AP563" s="379">
        <f t="shared" si="708"/>
        <v>0</v>
      </c>
      <c r="AQ563" s="379">
        <f t="shared" si="709"/>
        <v>0</v>
      </c>
      <c r="AR563" s="379">
        <f t="shared" si="710"/>
        <v>0</v>
      </c>
      <c r="AS563" s="379">
        <f t="shared" si="711"/>
        <v>0</v>
      </c>
      <c r="AT563" s="379">
        <f t="shared" si="712"/>
        <v>0</v>
      </c>
      <c r="AU563" s="379">
        <f t="shared" si="713"/>
        <v>0</v>
      </c>
      <c r="AV563" s="379">
        <f t="shared" si="714"/>
        <v>0</v>
      </c>
      <c r="AW563" s="379">
        <f t="shared" si="715"/>
        <v>0</v>
      </c>
      <c r="AX563" s="379">
        <f t="shared" si="716"/>
        <v>0</v>
      </c>
      <c r="AY563" s="379">
        <f t="shared" si="717"/>
        <v>0</v>
      </c>
    </row>
    <row r="564" spans="1:51" x14ac:dyDescent="0.2">
      <c r="A564" s="376">
        <v>16150</v>
      </c>
      <c r="B564" s="378" t="str">
        <f t="shared" si="670"/>
        <v>Orange (C)</v>
      </c>
      <c r="C564" s="377" t="str">
        <f t="shared" si="671"/>
        <v>NetWaste</v>
      </c>
      <c r="D564" s="503" t="str">
        <f t="shared" si="672"/>
        <v>N</v>
      </c>
      <c r="E564" s="503"/>
      <c r="F564"/>
      <c r="G564" s="379">
        <f t="shared" si="673"/>
        <v>42356</v>
      </c>
      <c r="H564" s="379">
        <f t="shared" si="674"/>
        <v>18241</v>
      </c>
      <c r="I564" s="379">
        <f t="shared" si="675"/>
        <v>395.15</v>
      </c>
      <c r="J564" s="379" t="str">
        <f t="shared" si="676"/>
        <v>Y</v>
      </c>
      <c r="K564" s="379">
        <f t="shared" si="677"/>
        <v>16785</v>
      </c>
      <c r="L564" s="379">
        <f t="shared" si="678"/>
        <v>0</v>
      </c>
      <c r="M564" s="379">
        <f t="shared" si="679"/>
        <v>16721</v>
      </c>
      <c r="N564" s="379">
        <f t="shared" si="680"/>
        <v>0</v>
      </c>
      <c r="O564" s="379">
        <f t="shared" si="681"/>
        <v>16250</v>
      </c>
      <c r="P564" s="379" t="str">
        <f t="shared" si="682"/>
        <v>Y</v>
      </c>
      <c r="Q564" s="379" t="str">
        <f t="shared" si="683"/>
        <v>Y</v>
      </c>
      <c r="R564" s="379" t="str">
        <f t="shared" si="684"/>
        <v>Ophir Rd Resource Recovery Centre</v>
      </c>
      <c r="S564" s="379">
        <f t="shared" si="685"/>
        <v>0</v>
      </c>
      <c r="T564" s="379">
        <f t="shared" si="686"/>
        <v>0</v>
      </c>
      <c r="U564" s="379">
        <f t="shared" si="687"/>
        <v>0</v>
      </c>
      <c r="V564" s="379">
        <f t="shared" si="688"/>
        <v>0</v>
      </c>
      <c r="W564" s="379">
        <f t="shared" si="689"/>
        <v>0</v>
      </c>
      <c r="X564" s="379">
        <f t="shared" si="690"/>
        <v>0</v>
      </c>
      <c r="Y564" s="379">
        <f t="shared" si="691"/>
        <v>0</v>
      </c>
      <c r="Z564" s="379">
        <f t="shared" si="692"/>
        <v>0</v>
      </c>
      <c r="AA564" s="379">
        <f t="shared" si="693"/>
        <v>0</v>
      </c>
      <c r="AB564" s="379">
        <f t="shared" si="694"/>
        <v>0</v>
      </c>
      <c r="AC564" s="379">
        <f t="shared" si="695"/>
        <v>0</v>
      </c>
      <c r="AD564" s="379">
        <f t="shared" si="696"/>
        <v>0</v>
      </c>
      <c r="AE564" s="379">
        <f t="shared" si="697"/>
        <v>0</v>
      </c>
      <c r="AF564" s="379">
        <f t="shared" si="698"/>
        <v>0</v>
      </c>
      <c r="AG564" s="379">
        <f t="shared" si="699"/>
        <v>0</v>
      </c>
      <c r="AH564" s="379">
        <f t="shared" si="700"/>
        <v>0</v>
      </c>
      <c r="AI564" s="379">
        <f t="shared" si="701"/>
        <v>0</v>
      </c>
      <c r="AJ564" s="379">
        <f t="shared" si="702"/>
        <v>0</v>
      </c>
      <c r="AK564" s="379">
        <f t="shared" si="703"/>
        <v>0</v>
      </c>
      <c r="AL564" s="379">
        <f t="shared" si="704"/>
        <v>0</v>
      </c>
      <c r="AM564" s="379">
        <f t="shared" si="705"/>
        <v>0</v>
      </c>
      <c r="AN564" s="490">
        <f t="shared" si="706"/>
        <v>0</v>
      </c>
      <c r="AO564" s="379">
        <f t="shared" si="707"/>
        <v>0</v>
      </c>
      <c r="AP564" s="379">
        <f t="shared" si="708"/>
        <v>0</v>
      </c>
      <c r="AQ564" s="379">
        <f t="shared" si="709"/>
        <v>0</v>
      </c>
      <c r="AR564" s="379">
        <f t="shared" si="710"/>
        <v>0</v>
      </c>
      <c r="AS564" s="379">
        <f t="shared" si="711"/>
        <v>0</v>
      </c>
      <c r="AT564" s="379">
        <f t="shared" si="712"/>
        <v>0</v>
      </c>
      <c r="AU564" s="379">
        <f t="shared" si="713"/>
        <v>0</v>
      </c>
      <c r="AV564" s="379">
        <f t="shared" si="714"/>
        <v>0</v>
      </c>
      <c r="AW564" s="379">
        <f t="shared" si="715"/>
        <v>0</v>
      </c>
      <c r="AX564" s="379">
        <f t="shared" si="716"/>
        <v>0</v>
      </c>
      <c r="AY564" s="379">
        <f t="shared" si="717"/>
        <v>0</v>
      </c>
    </row>
    <row r="565" spans="1:51" x14ac:dyDescent="0.2">
      <c r="A565" s="376">
        <v>16200</v>
      </c>
      <c r="B565" s="378" t="str">
        <f t="shared" si="670"/>
        <v>Parkes (A)</v>
      </c>
      <c r="C565" s="377" t="str">
        <f t="shared" si="671"/>
        <v>NetWaste</v>
      </c>
      <c r="D565" s="503" t="str">
        <f t="shared" si="672"/>
        <v>N</v>
      </c>
      <c r="E565" s="503"/>
      <c r="F565"/>
      <c r="G565" s="379">
        <f t="shared" si="673"/>
        <v>15328</v>
      </c>
      <c r="H565" s="379">
        <f t="shared" si="674"/>
        <v>7500</v>
      </c>
      <c r="I565" s="379">
        <f t="shared" si="675"/>
        <v>380</v>
      </c>
      <c r="J565" s="379" t="str">
        <f t="shared" si="676"/>
        <v>Y</v>
      </c>
      <c r="K565" s="379">
        <f t="shared" si="677"/>
        <v>4989</v>
      </c>
      <c r="L565" s="379">
        <f t="shared" si="678"/>
        <v>0</v>
      </c>
      <c r="M565" s="379">
        <f t="shared" si="679"/>
        <v>4989</v>
      </c>
      <c r="N565" s="379">
        <f t="shared" si="680"/>
        <v>0</v>
      </c>
      <c r="O565" s="379">
        <f t="shared" si="681"/>
        <v>0</v>
      </c>
      <c r="P565" s="379" t="str">
        <f t="shared" si="682"/>
        <v>Y</v>
      </c>
      <c r="Q565" s="379" t="str">
        <f t="shared" si="683"/>
        <v>Y</v>
      </c>
      <c r="R565" s="379" t="str">
        <f t="shared" si="684"/>
        <v>Tullamore</v>
      </c>
      <c r="S565" s="379">
        <f t="shared" si="685"/>
        <v>0</v>
      </c>
      <c r="T565" s="379">
        <f t="shared" si="686"/>
        <v>0</v>
      </c>
      <c r="U565" s="379">
        <f t="shared" si="687"/>
        <v>0</v>
      </c>
      <c r="V565" s="379">
        <f t="shared" si="688"/>
        <v>0</v>
      </c>
      <c r="W565" s="379">
        <f t="shared" si="689"/>
        <v>0</v>
      </c>
      <c r="X565" s="379">
        <f t="shared" si="690"/>
        <v>0</v>
      </c>
      <c r="Y565" s="379">
        <f t="shared" si="691"/>
        <v>0</v>
      </c>
      <c r="Z565" s="379">
        <f t="shared" si="692"/>
        <v>0</v>
      </c>
      <c r="AA565" s="379">
        <f t="shared" si="693"/>
        <v>0</v>
      </c>
      <c r="AB565" s="379">
        <f t="shared" si="694"/>
        <v>0</v>
      </c>
      <c r="AC565" s="379">
        <f t="shared" si="695"/>
        <v>0</v>
      </c>
      <c r="AD565" s="379">
        <f t="shared" si="696"/>
        <v>0</v>
      </c>
      <c r="AE565" s="379">
        <f t="shared" si="697"/>
        <v>0</v>
      </c>
      <c r="AF565" s="379">
        <f t="shared" si="698"/>
        <v>0</v>
      </c>
      <c r="AG565" s="379">
        <f t="shared" si="699"/>
        <v>0</v>
      </c>
      <c r="AH565" s="379">
        <f t="shared" si="700"/>
        <v>0</v>
      </c>
      <c r="AI565" s="379">
        <f t="shared" si="701"/>
        <v>0</v>
      </c>
      <c r="AJ565" s="379">
        <f t="shared" si="702"/>
        <v>0</v>
      </c>
      <c r="AK565" s="379">
        <f t="shared" si="703"/>
        <v>0</v>
      </c>
      <c r="AL565" s="379">
        <f t="shared" si="704"/>
        <v>0</v>
      </c>
      <c r="AM565" s="379">
        <f t="shared" si="705"/>
        <v>0</v>
      </c>
      <c r="AN565" s="490">
        <f t="shared" si="706"/>
        <v>0</v>
      </c>
      <c r="AO565" s="379">
        <f t="shared" si="707"/>
        <v>0</v>
      </c>
      <c r="AP565" s="379">
        <f t="shared" si="708"/>
        <v>0</v>
      </c>
      <c r="AQ565" s="379">
        <f t="shared" si="709"/>
        <v>0</v>
      </c>
      <c r="AR565" s="379">
        <f t="shared" si="710"/>
        <v>0</v>
      </c>
      <c r="AS565" s="379">
        <f t="shared" si="711"/>
        <v>0</v>
      </c>
      <c r="AT565" s="379">
        <f t="shared" si="712"/>
        <v>0</v>
      </c>
      <c r="AU565" s="379">
        <f t="shared" si="713"/>
        <v>0</v>
      </c>
      <c r="AV565" s="379">
        <f t="shared" si="714"/>
        <v>0</v>
      </c>
      <c r="AW565" s="379">
        <f t="shared" si="715"/>
        <v>0</v>
      </c>
      <c r="AX565" s="379">
        <f t="shared" si="716"/>
        <v>0</v>
      </c>
      <c r="AY565" s="379">
        <f t="shared" si="717"/>
        <v>0</v>
      </c>
    </row>
    <row r="566" spans="1:51" x14ac:dyDescent="0.2">
      <c r="A566" s="376">
        <v>17900</v>
      </c>
      <c r="B566" s="378" t="str">
        <f t="shared" si="670"/>
        <v>Walgett (A)</v>
      </c>
      <c r="C566" s="377" t="str">
        <f t="shared" si="671"/>
        <v>NetWaste</v>
      </c>
      <c r="D566" s="503" t="str">
        <f t="shared" si="672"/>
        <v>N</v>
      </c>
      <c r="E566" s="503"/>
      <c r="F566"/>
      <c r="G566" s="379">
        <f t="shared" si="673"/>
        <v>6750</v>
      </c>
      <c r="H566" s="379">
        <f t="shared" si="674"/>
        <v>3634</v>
      </c>
      <c r="I566" s="379">
        <f t="shared" si="675"/>
        <v>461</v>
      </c>
      <c r="J566" s="379" t="str">
        <f t="shared" si="676"/>
        <v>Y</v>
      </c>
      <c r="K566" s="379">
        <f t="shared" si="677"/>
        <v>3634</v>
      </c>
      <c r="L566" s="379">
        <f t="shared" si="678"/>
        <v>0</v>
      </c>
      <c r="M566" s="379">
        <f t="shared" si="679"/>
        <v>0</v>
      </c>
      <c r="N566" s="379">
        <f t="shared" si="680"/>
        <v>0</v>
      </c>
      <c r="O566" s="379">
        <f t="shared" si="681"/>
        <v>0</v>
      </c>
      <c r="P566" s="379">
        <f t="shared" si="682"/>
        <v>0</v>
      </c>
      <c r="Q566" s="379" t="str">
        <f t="shared" si="683"/>
        <v>Y</v>
      </c>
      <c r="R566" s="379" t="str">
        <f t="shared" si="684"/>
        <v>Walgett Landfill</v>
      </c>
      <c r="S566" s="379" t="str">
        <f t="shared" si="685"/>
        <v>Lightning Ridge Landfill</v>
      </c>
      <c r="T566" s="379" t="str">
        <f t="shared" si="686"/>
        <v>Collarenebri Landfll</v>
      </c>
      <c r="U566" s="379" t="str">
        <f t="shared" si="687"/>
        <v>Carinda Landfill</v>
      </c>
      <c r="V566" s="379" t="str">
        <f t="shared" si="688"/>
        <v>Rowena Landfill</v>
      </c>
      <c r="W566" s="379" t="str">
        <f t="shared" si="689"/>
        <v>other</v>
      </c>
      <c r="X566" s="379">
        <f t="shared" si="690"/>
        <v>0</v>
      </c>
      <c r="Y566" s="379">
        <f t="shared" si="691"/>
        <v>0</v>
      </c>
      <c r="Z566" s="379">
        <f t="shared" si="692"/>
        <v>0</v>
      </c>
      <c r="AA566" s="379">
        <f t="shared" si="693"/>
        <v>0</v>
      </c>
      <c r="AB566" s="379">
        <f t="shared" si="694"/>
        <v>0</v>
      </c>
      <c r="AC566" s="379">
        <f t="shared" si="695"/>
        <v>0</v>
      </c>
      <c r="AD566" s="379">
        <f t="shared" si="696"/>
        <v>0</v>
      </c>
      <c r="AE566" s="379">
        <f t="shared" si="697"/>
        <v>0</v>
      </c>
      <c r="AF566" s="379">
        <f t="shared" si="698"/>
        <v>0</v>
      </c>
      <c r="AG566" s="379">
        <f t="shared" si="699"/>
        <v>0</v>
      </c>
      <c r="AH566" s="379">
        <f t="shared" si="700"/>
        <v>0</v>
      </c>
      <c r="AI566" s="379">
        <f t="shared" si="701"/>
        <v>0</v>
      </c>
      <c r="AJ566" s="379">
        <f t="shared" si="702"/>
        <v>0</v>
      </c>
      <c r="AK566" s="379">
        <f t="shared" si="703"/>
        <v>0</v>
      </c>
      <c r="AL566" s="379">
        <f t="shared" si="704"/>
        <v>0</v>
      </c>
      <c r="AM566" s="379">
        <f t="shared" si="705"/>
        <v>0</v>
      </c>
      <c r="AN566" s="490">
        <f t="shared" si="706"/>
        <v>0</v>
      </c>
      <c r="AO566" s="379">
        <f t="shared" si="707"/>
        <v>0</v>
      </c>
      <c r="AP566" s="379">
        <f t="shared" si="708"/>
        <v>0</v>
      </c>
      <c r="AQ566" s="379">
        <f t="shared" si="709"/>
        <v>0</v>
      </c>
      <c r="AR566" s="379">
        <f t="shared" si="710"/>
        <v>0</v>
      </c>
      <c r="AS566" s="379">
        <f t="shared" si="711"/>
        <v>0</v>
      </c>
      <c r="AT566" s="379">
        <f t="shared" si="712"/>
        <v>0</v>
      </c>
      <c r="AU566" s="379">
        <f t="shared" si="713"/>
        <v>0</v>
      </c>
      <c r="AV566" s="379">
        <f t="shared" si="714"/>
        <v>0</v>
      </c>
      <c r="AW566" s="379">
        <f t="shared" si="715"/>
        <v>0</v>
      </c>
      <c r="AX566" s="379">
        <f t="shared" si="716"/>
        <v>0</v>
      </c>
      <c r="AY566" s="379">
        <f t="shared" si="717"/>
        <v>0</v>
      </c>
    </row>
    <row r="567" spans="1:51" x14ac:dyDescent="0.2">
      <c r="A567" s="376">
        <v>17950</v>
      </c>
      <c r="B567" s="378" t="str">
        <f t="shared" si="670"/>
        <v>Warren (A)</v>
      </c>
      <c r="C567" s="377" t="str">
        <f t="shared" si="671"/>
        <v>NetWaste</v>
      </c>
      <c r="D567" s="503" t="str">
        <f t="shared" si="672"/>
        <v>N</v>
      </c>
      <c r="E567" s="503"/>
      <c r="F567"/>
      <c r="G567" s="379">
        <f t="shared" si="673"/>
        <v>2901</v>
      </c>
      <c r="H567" s="379">
        <f t="shared" si="674"/>
        <v>777</v>
      </c>
      <c r="I567" s="379">
        <f t="shared" si="675"/>
        <v>240</v>
      </c>
      <c r="J567" s="379" t="str">
        <f t="shared" si="676"/>
        <v>Y</v>
      </c>
      <c r="K567" s="379">
        <f t="shared" si="677"/>
        <v>759</v>
      </c>
      <c r="L567" s="379">
        <f t="shared" si="678"/>
        <v>0</v>
      </c>
      <c r="M567" s="379">
        <f t="shared" si="679"/>
        <v>0</v>
      </c>
      <c r="N567" s="379">
        <f t="shared" si="680"/>
        <v>0</v>
      </c>
      <c r="O567" s="379">
        <f t="shared" si="681"/>
        <v>0</v>
      </c>
      <c r="P567" s="379">
        <f t="shared" si="682"/>
        <v>0</v>
      </c>
      <c r="Q567" s="379" t="str">
        <f t="shared" si="683"/>
        <v>Y</v>
      </c>
      <c r="R567" s="379" t="str">
        <f t="shared" si="684"/>
        <v>Ewenmar Waste Facility</v>
      </c>
      <c r="S567" s="379">
        <f t="shared" si="685"/>
        <v>0</v>
      </c>
      <c r="T567" s="379">
        <f t="shared" si="686"/>
        <v>0</v>
      </c>
      <c r="U567" s="379">
        <f t="shared" si="687"/>
        <v>0</v>
      </c>
      <c r="V567" s="379">
        <f t="shared" si="688"/>
        <v>0</v>
      </c>
      <c r="W567" s="379">
        <f t="shared" si="689"/>
        <v>0</v>
      </c>
      <c r="X567" s="379">
        <f t="shared" si="690"/>
        <v>0</v>
      </c>
      <c r="Y567" s="379">
        <f t="shared" si="691"/>
        <v>0</v>
      </c>
      <c r="Z567" s="379">
        <f t="shared" si="692"/>
        <v>0</v>
      </c>
      <c r="AA567" s="379">
        <f t="shared" si="693"/>
        <v>0</v>
      </c>
      <c r="AB567" s="379">
        <f t="shared" si="694"/>
        <v>0</v>
      </c>
      <c r="AC567" s="379">
        <f t="shared" si="695"/>
        <v>0</v>
      </c>
      <c r="AD567" s="379">
        <f t="shared" si="696"/>
        <v>0</v>
      </c>
      <c r="AE567" s="379">
        <f t="shared" si="697"/>
        <v>0</v>
      </c>
      <c r="AF567" s="379">
        <f t="shared" si="698"/>
        <v>0</v>
      </c>
      <c r="AG567" s="379">
        <f t="shared" si="699"/>
        <v>0</v>
      </c>
      <c r="AH567" s="379">
        <f t="shared" si="700"/>
        <v>0</v>
      </c>
      <c r="AI567" s="379">
        <f t="shared" si="701"/>
        <v>0</v>
      </c>
      <c r="AJ567" s="379">
        <f t="shared" si="702"/>
        <v>0</v>
      </c>
      <c r="AK567" s="379">
        <f t="shared" si="703"/>
        <v>0</v>
      </c>
      <c r="AL567" s="379">
        <f t="shared" si="704"/>
        <v>0</v>
      </c>
      <c r="AM567" s="379">
        <f t="shared" si="705"/>
        <v>0</v>
      </c>
      <c r="AN567" s="490">
        <f t="shared" si="706"/>
        <v>0</v>
      </c>
      <c r="AO567" s="379">
        <f t="shared" si="707"/>
        <v>0</v>
      </c>
      <c r="AP567" s="379">
        <f t="shared" si="708"/>
        <v>0</v>
      </c>
      <c r="AQ567" s="379">
        <f t="shared" si="709"/>
        <v>0</v>
      </c>
      <c r="AR567" s="379">
        <f t="shared" si="710"/>
        <v>0</v>
      </c>
      <c r="AS567" s="379">
        <f t="shared" si="711"/>
        <v>0</v>
      </c>
      <c r="AT567" s="379">
        <f t="shared" si="712"/>
        <v>0</v>
      </c>
      <c r="AU567" s="379">
        <f t="shared" si="713"/>
        <v>0</v>
      </c>
      <c r="AV567" s="379">
        <f t="shared" si="714"/>
        <v>0</v>
      </c>
      <c r="AW567" s="379">
        <f t="shared" si="715"/>
        <v>0</v>
      </c>
      <c r="AX567" s="379">
        <f t="shared" si="716"/>
        <v>0</v>
      </c>
      <c r="AY567" s="379">
        <f t="shared" si="717"/>
        <v>0</v>
      </c>
    </row>
    <row r="568" spans="1:51" x14ac:dyDescent="0.2">
      <c r="A568" s="376">
        <v>18020</v>
      </c>
      <c r="B568" s="378" t="str">
        <f t="shared" si="670"/>
        <v>Warrumbungle Shire (A)</v>
      </c>
      <c r="C568" s="377" t="str">
        <f t="shared" si="671"/>
        <v>NetWaste</v>
      </c>
      <c r="D568" s="503" t="str">
        <f t="shared" si="672"/>
        <v>N</v>
      </c>
      <c r="E568" s="503"/>
      <c r="F568"/>
      <c r="G568" s="379">
        <f t="shared" si="673"/>
        <v>9688</v>
      </c>
      <c r="H568" s="379">
        <f t="shared" si="674"/>
        <v>3520</v>
      </c>
      <c r="I568" s="379">
        <f t="shared" si="675"/>
        <v>325</v>
      </c>
      <c r="J568" s="379" t="str">
        <f t="shared" si="676"/>
        <v>Y</v>
      </c>
      <c r="K568" s="379">
        <f t="shared" si="677"/>
        <v>3420</v>
      </c>
      <c r="L568" s="379">
        <f t="shared" si="678"/>
        <v>0</v>
      </c>
      <c r="M568" s="379">
        <f t="shared" si="679"/>
        <v>3420</v>
      </c>
      <c r="N568" s="379">
        <f t="shared" si="680"/>
        <v>0</v>
      </c>
      <c r="O568" s="379">
        <f t="shared" si="681"/>
        <v>0</v>
      </c>
      <c r="P568" s="379">
        <f t="shared" si="682"/>
        <v>0</v>
      </c>
      <c r="Q568" s="379" t="str">
        <f t="shared" si="683"/>
        <v>Y</v>
      </c>
      <c r="R568" s="379" t="str">
        <f t="shared" si="684"/>
        <v>Coonabarabran</v>
      </c>
      <c r="S568" s="379" t="str">
        <f t="shared" si="685"/>
        <v>Baradine</v>
      </c>
      <c r="T568" s="379" t="str">
        <f t="shared" si="686"/>
        <v>Binnaway</v>
      </c>
      <c r="U568" s="379" t="str">
        <f t="shared" si="687"/>
        <v>Ulamambri</v>
      </c>
      <c r="V568" s="379" t="str">
        <f t="shared" si="688"/>
        <v>Coolah</v>
      </c>
      <c r="W568" s="379" t="str">
        <f t="shared" si="689"/>
        <v>Dunedoo</v>
      </c>
      <c r="X568" s="379">
        <f t="shared" si="690"/>
        <v>0</v>
      </c>
      <c r="Y568" s="379">
        <f t="shared" si="691"/>
        <v>0</v>
      </c>
      <c r="Z568" s="379">
        <f t="shared" si="692"/>
        <v>0</v>
      </c>
      <c r="AA568" s="379">
        <f t="shared" si="693"/>
        <v>0</v>
      </c>
      <c r="AB568" s="379">
        <f t="shared" si="694"/>
        <v>0</v>
      </c>
      <c r="AC568" s="379">
        <f t="shared" si="695"/>
        <v>0</v>
      </c>
      <c r="AD568" s="379">
        <f t="shared" si="696"/>
        <v>0</v>
      </c>
      <c r="AE568" s="379">
        <f t="shared" si="697"/>
        <v>0</v>
      </c>
      <c r="AF568" s="379">
        <f t="shared" si="698"/>
        <v>0</v>
      </c>
      <c r="AG568" s="379">
        <f t="shared" si="699"/>
        <v>0</v>
      </c>
      <c r="AH568" s="379">
        <f t="shared" si="700"/>
        <v>0</v>
      </c>
      <c r="AI568" s="379">
        <f t="shared" si="701"/>
        <v>0</v>
      </c>
      <c r="AJ568" s="379">
        <f t="shared" si="702"/>
        <v>0</v>
      </c>
      <c r="AK568" s="379">
        <f t="shared" si="703"/>
        <v>0</v>
      </c>
      <c r="AL568" s="379">
        <f t="shared" si="704"/>
        <v>0</v>
      </c>
      <c r="AM568" s="379">
        <f t="shared" si="705"/>
        <v>0</v>
      </c>
      <c r="AN568" s="490">
        <f t="shared" si="706"/>
        <v>0</v>
      </c>
      <c r="AO568" s="379">
        <f t="shared" si="707"/>
        <v>0</v>
      </c>
      <c r="AP568" s="379">
        <f t="shared" si="708"/>
        <v>0</v>
      </c>
      <c r="AQ568" s="379">
        <f t="shared" si="709"/>
        <v>0</v>
      </c>
      <c r="AR568" s="379">
        <f t="shared" si="710"/>
        <v>0</v>
      </c>
      <c r="AS568" s="379">
        <f t="shared" si="711"/>
        <v>0</v>
      </c>
      <c r="AT568" s="379">
        <f t="shared" si="712"/>
        <v>0</v>
      </c>
      <c r="AU568" s="379">
        <f t="shared" si="713"/>
        <v>0</v>
      </c>
      <c r="AV568" s="379">
        <f t="shared" si="714"/>
        <v>0</v>
      </c>
      <c r="AW568" s="379">
        <f t="shared" si="715"/>
        <v>0</v>
      </c>
      <c r="AX568" s="379">
        <f t="shared" si="716"/>
        <v>0</v>
      </c>
      <c r="AY568" s="379">
        <f t="shared" si="717"/>
        <v>0</v>
      </c>
    </row>
    <row r="569" spans="1:51" x14ac:dyDescent="0.2">
      <c r="A569" s="376">
        <v>18100</v>
      </c>
      <c r="B569" s="378" t="str">
        <f t="shared" si="670"/>
        <v>Weddin (A)</v>
      </c>
      <c r="C569" s="377" t="str">
        <f t="shared" si="671"/>
        <v>NetWaste</v>
      </c>
      <c r="D569" s="503" t="str">
        <f t="shared" si="672"/>
        <v>N</v>
      </c>
      <c r="E569" s="503"/>
      <c r="F569"/>
      <c r="G569" s="379">
        <f t="shared" si="673"/>
        <v>3708</v>
      </c>
      <c r="H569" s="379">
        <f t="shared" si="674"/>
        <v>1532</v>
      </c>
      <c r="I569" s="379">
        <f t="shared" si="675"/>
        <v>183</v>
      </c>
      <c r="J569" s="379" t="str">
        <f t="shared" si="676"/>
        <v>Y</v>
      </c>
      <c r="K569" s="379">
        <f t="shared" si="677"/>
        <v>1133</v>
      </c>
      <c r="L569" s="379">
        <f t="shared" si="678"/>
        <v>0</v>
      </c>
      <c r="M569" s="379">
        <f t="shared" si="679"/>
        <v>1133</v>
      </c>
      <c r="N569" s="379">
        <f t="shared" si="680"/>
        <v>0</v>
      </c>
      <c r="O569" s="379">
        <f t="shared" si="681"/>
        <v>0</v>
      </c>
      <c r="P569" s="379">
        <f t="shared" si="682"/>
        <v>0</v>
      </c>
      <c r="Q569" s="379" t="str">
        <f t="shared" si="683"/>
        <v>Y</v>
      </c>
      <c r="R569" s="379" t="str">
        <f t="shared" si="684"/>
        <v>Grenfell Waste Faciltity</v>
      </c>
      <c r="S569" s="379" t="str">
        <f t="shared" si="685"/>
        <v>Quandialla Landfill</v>
      </c>
      <c r="T569" s="379" t="str">
        <f t="shared" si="686"/>
        <v>Caragabal Landfill</v>
      </c>
      <c r="U569" s="379">
        <f t="shared" si="687"/>
        <v>0</v>
      </c>
      <c r="V569" s="379">
        <f t="shared" si="688"/>
        <v>0</v>
      </c>
      <c r="W569" s="379">
        <f t="shared" si="689"/>
        <v>0</v>
      </c>
      <c r="X569" s="379">
        <f t="shared" si="690"/>
        <v>0</v>
      </c>
      <c r="Y569" s="379">
        <f t="shared" si="691"/>
        <v>0</v>
      </c>
      <c r="Z569" s="379">
        <f t="shared" si="692"/>
        <v>0</v>
      </c>
      <c r="AA569" s="379">
        <f t="shared" si="693"/>
        <v>0</v>
      </c>
      <c r="AB569" s="379">
        <f t="shared" si="694"/>
        <v>0</v>
      </c>
      <c r="AC569" s="379">
        <f t="shared" si="695"/>
        <v>0</v>
      </c>
      <c r="AD569" s="379">
        <f t="shared" si="696"/>
        <v>0</v>
      </c>
      <c r="AE569" s="379">
        <f t="shared" si="697"/>
        <v>0</v>
      </c>
      <c r="AF569" s="379">
        <f t="shared" si="698"/>
        <v>0</v>
      </c>
      <c r="AG569" s="379">
        <f t="shared" si="699"/>
        <v>0</v>
      </c>
      <c r="AH569" s="379">
        <f t="shared" si="700"/>
        <v>0</v>
      </c>
      <c r="AI569" s="379">
        <f t="shared" si="701"/>
        <v>0</v>
      </c>
      <c r="AJ569" s="379">
        <f t="shared" si="702"/>
        <v>0</v>
      </c>
      <c r="AK569" s="379">
        <f t="shared" si="703"/>
        <v>0</v>
      </c>
      <c r="AL569" s="379">
        <f t="shared" si="704"/>
        <v>0</v>
      </c>
      <c r="AM569" s="379">
        <f t="shared" si="705"/>
        <v>0</v>
      </c>
      <c r="AN569" s="490">
        <f t="shared" si="706"/>
        <v>0</v>
      </c>
      <c r="AO569" s="379">
        <f t="shared" si="707"/>
        <v>0</v>
      </c>
      <c r="AP569" s="379">
        <f t="shared" si="708"/>
        <v>0</v>
      </c>
      <c r="AQ569" s="379">
        <f t="shared" si="709"/>
        <v>0</v>
      </c>
      <c r="AR569" s="379">
        <f t="shared" si="710"/>
        <v>0</v>
      </c>
      <c r="AS569" s="379">
        <f t="shared" si="711"/>
        <v>0</v>
      </c>
      <c r="AT569" s="379">
        <f t="shared" si="712"/>
        <v>0</v>
      </c>
      <c r="AU569" s="379">
        <f t="shared" si="713"/>
        <v>0</v>
      </c>
      <c r="AV569" s="379">
        <f t="shared" si="714"/>
        <v>0</v>
      </c>
      <c r="AW569" s="379">
        <f t="shared" si="715"/>
        <v>0</v>
      </c>
      <c r="AX569" s="379">
        <f t="shared" si="716"/>
        <v>0</v>
      </c>
      <c r="AY569" s="379">
        <f t="shared" si="717"/>
        <v>0</v>
      </c>
    </row>
    <row r="570" spans="1:51" ht="13.5" thickBot="1" x14ac:dyDescent="0.25">
      <c r="A570" s="376">
        <v>18230</v>
      </c>
      <c r="B570" s="378" t="str">
        <f t="shared" si="670"/>
        <v>Dubbo Regional (A)</v>
      </c>
      <c r="C570" s="377" t="str">
        <f t="shared" si="671"/>
        <v>NetWaste</v>
      </c>
      <c r="D570" s="503" t="str">
        <f t="shared" si="672"/>
        <v>N</v>
      </c>
      <c r="E570" s="503"/>
      <c r="F570"/>
      <c r="G570" s="379">
        <f t="shared" si="673"/>
        <v>51449</v>
      </c>
      <c r="H570" s="379">
        <f t="shared" si="674"/>
        <v>22045</v>
      </c>
      <c r="I570" s="379">
        <f t="shared" si="675"/>
        <v>290.60000000000002</v>
      </c>
      <c r="J570" s="379" t="str">
        <f t="shared" si="676"/>
        <v>Y</v>
      </c>
      <c r="K570" s="379">
        <f t="shared" si="677"/>
        <v>19165</v>
      </c>
      <c r="L570" s="379">
        <f t="shared" si="678"/>
        <v>0</v>
      </c>
      <c r="M570" s="379">
        <f t="shared" si="679"/>
        <v>19165</v>
      </c>
      <c r="N570" s="379">
        <f t="shared" si="680"/>
        <v>0</v>
      </c>
      <c r="O570" s="379">
        <f t="shared" si="681"/>
        <v>0</v>
      </c>
      <c r="P570" s="379" t="str">
        <f t="shared" si="682"/>
        <v>Y</v>
      </c>
      <c r="Q570" s="379" t="str">
        <f t="shared" si="683"/>
        <v>Y</v>
      </c>
      <c r="R570" s="379" t="str">
        <f t="shared" si="684"/>
        <v>Transfer Stations Dubbo</v>
      </c>
      <c r="S570" s="379" t="str">
        <f t="shared" si="685"/>
        <v>Wellington Waste Disposal Depot</v>
      </c>
      <c r="T570" s="379" t="str">
        <f t="shared" si="686"/>
        <v>Whylandra Waste Disposal Depot</v>
      </c>
      <c r="U570" s="379" t="str">
        <f t="shared" si="687"/>
        <v>Wellington transfer stations</v>
      </c>
      <c r="V570" s="379">
        <f t="shared" si="688"/>
        <v>0</v>
      </c>
      <c r="W570" s="379">
        <f t="shared" si="689"/>
        <v>0</v>
      </c>
      <c r="X570" s="379">
        <f t="shared" si="690"/>
        <v>0</v>
      </c>
      <c r="Y570" s="379">
        <f t="shared" si="691"/>
        <v>0</v>
      </c>
      <c r="Z570" s="379">
        <f t="shared" si="692"/>
        <v>0</v>
      </c>
      <c r="AA570" s="379">
        <f t="shared" si="693"/>
        <v>0</v>
      </c>
      <c r="AB570" s="379">
        <f t="shared" si="694"/>
        <v>0</v>
      </c>
      <c r="AC570" s="379">
        <f t="shared" si="695"/>
        <v>0</v>
      </c>
      <c r="AD570" s="379">
        <f t="shared" si="696"/>
        <v>0</v>
      </c>
      <c r="AE570" s="379">
        <f t="shared" si="697"/>
        <v>0</v>
      </c>
      <c r="AF570" s="379">
        <f t="shared" si="698"/>
        <v>0</v>
      </c>
      <c r="AG570" s="379">
        <f t="shared" si="699"/>
        <v>0</v>
      </c>
      <c r="AH570" s="379">
        <f t="shared" si="700"/>
        <v>0</v>
      </c>
      <c r="AI570" s="379">
        <f t="shared" si="701"/>
        <v>0</v>
      </c>
      <c r="AJ570" s="379">
        <f t="shared" si="702"/>
        <v>0</v>
      </c>
      <c r="AK570" s="379">
        <f t="shared" si="703"/>
        <v>0</v>
      </c>
      <c r="AL570" s="379">
        <f t="shared" si="704"/>
        <v>0</v>
      </c>
      <c r="AM570" s="379">
        <f t="shared" si="705"/>
        <v>0</v>
      </c>
      <c r="AN570" s="490">
        <f t="shared" si="706"/>
        <v>0</v>
      </c>
      <c r="AO570" s="379">
        <f t="shared" si="707"/>
        <v>0</v>
      </c>
      <c r="AP570" s="379">
        <f t="shared" si="708"/>
        <v>0</v>
      </c>
      <c r="AQ570" s="379">
        <f t="shared" si="709"/>
        <v>0</v>
      </c>
      <c r="AR570" s="379">
        <f t="shared" si="710"/>
        <v>0</v>
      </c>
      <c r="AS570" s="379">
        <f t="shared" si="711"/>
        <v>0</v>
      </c>
      <c r="AT570" s="379">
        <f t="shared" si="712"/>
        <v>0</v>
      </c>
      <c r="AU570" s="379">
        <f t="shared" si="713"/>
        <v>0</v>
      </c>
      <c r="AV570" s="379">
        <f t="shared" si="714"/>
        <v>0</v>
      </c>
      <c r="AW570" s="379">
        <f t="shared" si="715"/>
        <v>0</v>
      </c>
      <c r="AX570" s="379">
        <f t="shared" si="716"/>
        <v>0</v>
      </c>
      <c r="AY570" s="379">
        <f t="shared" si="717"/>
        <v>0</v>
      </c>
    </row>
    <row r="571" spans="1:51" ht="13.5" thickTop="1" x14ac:dyDescent="0.2">
      <c r="A571" s="380"/>
      <c r="B571" s="380"/>
      <c r="C571" s="380" t="s">
        <v>264</v>
      </c>
      <c r="D571" s="380"/>
      <c r="E571" s="484"/>
      <c r="F571" s="381"/>
      <c r="G571" s="382">
        <f t="shared" ref="G571:AY571" si="718">COUNTIF(G546:G570,"&gt;0")</f>
        <v>25</v>
      </c>
      <c r="H571" s="382">
        <f t="shared" si="718"/>
        <v>25</v>
      </c>
      <c r="I571" s="382">
        <f t="shared" si="718"/>
        <v>25</v>
      </c>
      <c r="J571" s="382">
        <f t="shared" si="718"/>
        <v>0</v>
      </c>
      <c r="K571" s="382">
        <f t="shared" si="718"/>
        <v>25</v>
      </c>
      <c r="L571" s="382">
        <f t="shared" si="718"/>
        <v>0</v>
      </c>
      <c r="M571" s="382">
        <f t="shared" si="718"/>
        <v>16</v>
      </c>
      <c r="N571" s="382">
        <f t="shared" si="718"/>
        <v>1</v>
      </c>
      <c r="O571" s="382">
        <f t="shared" si="718"/>
        <v>4</v>
      </c>
      <c r="P571" s="382">
        <f t="shared" si="718"/>
        <v>0</v>
      </c>
      <c r="Q571" s="382">
        <f t="shared" si="718"/>
        <v>0</v>
      </c>
      <c r="R571" s="382">
        <f t="shared" si="718"/>
        <v>0</v>
      </c>
      <c r="S571" s="382">
        <f t="shared" si="718"/>
        <v>0</v>
      </c>
      <c r="T571" s="382">
        <f t="shared" si="718"/>
        <v>0</v>
      </c>
      <c r="U571" s="382">
        <f t="shared" si="718"/>
        <v>0</v>
      </c>
      <c r="V571" s="382">
        <f t="shared" si="718"/>
        <v>0</v>
      </c>
      <c r="W571" s="382">
        <f t="shared" si="718"/>
        <v>0</v>
      </c>
      <c r="X571" s="382">
        <f t="shared" si="718"/>
        <v>0</v>
      </c>
      <c r="Y571" s="382">
        <f t="shared" si="718"/>
        <v>0</v>
      </c>
      <c r="Z571" s="382">
        <f t="shared" si="718"/>
        <v>0</v>
      </c>
      <c r="AA571" s="382">
        <f t="shared" si="718"/>
        <v>0</v>
      </c>
      <c r="AB571" s="382">
        <f t="shared" si="718"/>
        <v>0</v>
      </c>
      <c r="AC571" s="382">
        <f t="shared" si="718"/>
        <v>0</v>
      </c>
      <c r="AD571" s="382">
        <f t="shared" si="718"/>
        <v>0</v>
      </c>
      <c r="AE571" s="382">
        <f t="shared" si="718"/>
        <v>0</v>
      </c>
      <c r="AF571" s="382">
        <f t="shared" si="718"/>
        <v>0</v>
      </c>
      <c r="AG571" s="382">
        <f t="shared" si="718"/>
        <v>0</v>
      </c>
      <c r="AH571" s="382">
        <f t="shared" si="718"/>
        <v>0</v>
      </c>
      <c r="AI571" s="382">
        <f t="shared" si="718"/>
        <v>0</v>
      </c>
      <c r="AJ571" s="382">
        <f t="shared" si="718"/>
        <v>0</v>
      </c>
      <c r="AK571" s="382">
        <f t="shared" si="718"/>
        <v>0</v>
      </c>
      <c r="AL571" s="382">
        <f t="shared" si="718"/>
        <v>0</v>
      </c>
      <c r="AM571" s="382">
        <f t="shared" si="718"/>
        <v>0</v>
      </c>
      <c r="AN571" s="485">
        <f t="shared" si="718"/>
        <v>0</v>
      </c>
      <c r="AO571" s="382">
        <f t="shared" si="718"/>
        <v>0</v>
      </c>
      <c r="AP571" s="382">
        <f t="shared" si="718"/>
        <v>0</v>
      </c>
      <c r="AQ571" s="382">
        <f t="shared" si="718"/>
        <v>0</v>
      </c>
      <c r="AR571" s="382">
        <f t="shared" si="718"/>
        <v>0</v>
      </c>
      <c r="AS571" s="382">
        <f t="shared" si="718"/>
        <v>0</v>
      </c>
      <c r="AT571" s="382">
        <f t="shared" si="718"/>
        <v>0</v>
      </c>
      <c r="AU571" s="382">
        <f t="shared" si="718"/>
        <v>0</v>
      </c>
      <c r="AV571" s="382">
        <f t="shared" si="718"/>
        <v>0</v>
      </c>
      <c r="AW571" s="382">
        <f t="shared" si="718"/>
        <v>0</v>
      </c>
      <c r="AX571" s="382">
        <f t="shared" si="718"/>
        <v>0</v>
      </c>
      <c r="AY571" s="382">
        <f t="shared" si="718"/>
        <v>0</v>
      </c>
    </row>
    <row r="572" spans="1:51" x14ac:dyDescent="0.2">
      <c r="A572" s="376"/>
      <c r="B572" s="376"/>
      <c r="C572" s="376" t="s">
        <v>265</v>
      </c>
      <c r="D572" s="376"/>
      <c r="E572" s="488"/>
      <c r="F572" s="384"/>
      <c r="G572" s="385">
        <f t="shared" ref="G572:AY572" si="719">SUM(G546:G570)</f>
        <v>325542</v>
      </c>
      <c r="H572" s="385">
        <f t="shared" si="719"/>
        <v>154674</v>
      </c>
      <c r="I572" s="385">
        <f t="shared" si="719"/>
        <v>8482.3799999999992</v>
      </c>
      <c r="J572" s="385">
        <f t="shared" si="719"/>
        <v>0</v>
      </c>
      <c r="K572" s="385">
        <f t="shared" si="719"/>
        <v>121967</v>
      </c>
      <c r="L572" s="385">
        <f t="shared" si="719"/>
        <v>0</v>
      </c>
      <c r="M572" s="385">
        <f t="shared" si="719"/>
        <v>98375</v>
      </c>
      <c r="N572" s="385">
        <f t="shared" si="719"/>
        <v>1272</v>
      </c>
      <c r="O572" s="385">
        <f t="shared" si="719"/>
        <v>41297</v>
      </c>
      <c r="P572" s="385">
        <f t="shared" si="719"/>
        <v>0</v>
      </c>
      <c r="Q572" s="385">
        <f t="shared" si="719"/>
        <v>0</v>
      </c>
      <c r="R572" s="385">
        <f t="shared" si="719"/>
        <v>0</v>
      </c>
      <c r="S572" s="385">
        <f t="shared" si="719"/>
        <v>0</v>
      </c>
      <c r="T572" s="385">
        <f t="shared" si="719"/>
        <v>0</v>
      </c>
      <c r="U572" s="385">
        <f t="shared" si="719"/>
        <v>0</v>
      </c>
      <c r="V572" s="385">
        <f t="shared" si="719"/>
        <v>0</v>
      </c>
      <c r="W572" s="385">
        <f t="shared" si="719"/>
        <v>0</v>
      </c>
      <c r="X572" s="385">
        <f t="shared" si="719"/>
        <v>0</v>
      </c>
      <c r="Y572" s="385">
        <f t="shared" si="719"/>
        <v>0</v>
      </c>
      <c r="Z572" s="385">
        <f t="shared" si="719"/>
        <v>0</v>
      </c>
      <c r="AA572" s="385">
        <f t="shared" si="719"/>
        <v>0</v>
      </c>
      <c r="AB572" s="385">
        <f t="shared" si="719"/>
        <v>0</v>
      </c>
      <c r="AC572" s="385">
        <f t="shared" si="719"/>
        <v>0</v>
      </c>
      <c r="AD572" s="385">
        <f t="shared" si="719"/>
        <v>0</v>
      </c>
      <c r="AE572" s="385">
        <f t="shared" si="719"/>
        <v>0</v>
      </c>
      <c r="AF572" s="385">
        <f t="shared" si="719"/>
        <v>0</v>
      </c>
      <c r="AG572" s="385">
        <f t="shared" si="719"/>
        <v>0</v>
      </c>
      <c r="AH572" s="385">
        <f t="shared" si="719"/>
        <v>0</v>
      </c>
      <c r="AI572" s="385">
        <f t="shared" si="719"/>
        <v>0</v>
      </c>
      <c r="AJ572" s="385">
        <f t="shared" si="719"/>
        <v>0</v>
      </c>
      <c r="AK572" s="385">
        <f t="shared" si="719"/>
        <v>0</v>
      </c>
      <c r="AL572" s="385">
        <f t="shared" si="719"/>
        <v>0</v>
      </c>
      <c r="AM572" s="385">
        <f t="shared" si="719"/>
        <v>0</v>
      </c>
      <c r="AN572" s="489">
        <f t="shared" si="719"/>
        <v>0</v>
      </c>
      <c r="AO572" s="385">
        <f t="shared" si="719"/>
        <v>0</v>
      </c>
      <c r="AP572" s="385">
        <f t="shared" si="719"/>
        <v>0</v>
      </c>
      <c r="AQ572" s="385">
        <f t="shared" si="719"/>
        <v>0</v>
      </c>
      <c r="AR572" s="385">
        <f t="shared" si="719"/>
        <v>0</v>
      </c>
      <c r="AS572" s="385">
        <f t="shared" si="719"/>
        <v>0</v>
      </c>
      <c r="AT572" s="385">
        <f t="shared" si="719"/>
        <v>0</v>
      </c>
      <c r="AU572" s="385">
        <f t="shared" si="719"/>
        <v>0</v>
      </c>
      <c r="AV572" s="385">
        <f t="shared" si="719"/>
        <v>0</v>
      </c>
      <c r="AW572" s="385">
        <f t="shared" si="719"/>
        <v>0</v>
      </c>
      <c r="AX572" s="385">
        <f t="shared" si="719"/>
        <v>0</v>
      </c>
      <c r="AY572" s="385">
        <f t="shared" si="719"/>
        <v>0</v>
      </c>
    </row>
    <row r="573" spans="1:51" x14ac:dyDescent="0.2">
      <c r="A573" s="376"/>
      <c r="B573" s="376"/>
      <c r="C573" s="376" t="s">
        <v>266</v>
      </c>
      <c r="D573" s="376"/>
      <c r="E573" s="488"/>
      <c r="F573" s="384"/>
      <c r="G573" s="379">
        <f t="shared" ref="G573:AY573" si="720">MIN(G546:G570)</f>
        <v>1875</v>
      </c>
      <c r="H573" s="379">
        <f t="shared" si="720"/>
        <v>777</v>
      </c>
      <c r="I573" s="379">
        <f t="shared" si="720"/>
        <v>171</v>
      </c>
      <c r="J573" s="379">
        <f t="shared" si="720"/>
        <v>0</v>
      </c>
      <c r="K573" s="379">
        <f t="shared" si="720"/>
        <v>719</v>
      </c>
      <c r="L573" s="379">
        <f t="shared" si="720"/>
        <v>0</v>
      </c>
      <c r="M573" s="379">
        <f t="shared" si="720"/>
        <v>0</v>
      </c>
      <c r="N573" s="379">
        <f t="shared" si="720"/>
        <v>0</v>
      </c>
      <c r="O573" s="379">
        <f t="shared" si="720"/>
        <v>0</v>
      </c>
      <c r="P573" s="379">
        <f t="shared" si="720"/>
        <v>0</v>
      </c>
      <c r="Q573" s="379">
        <f t="shared" si="720"/>
        <v>0</v>
      </c>
      <c r="R573" s="379">
        <f t="shared" si="720"/>
        <v>0</v>
      </c>
      <c r="S573" s="379">
        <f t="shared" si="720"/>
        <v>0</v>
      </c>
      <c r="T573" s="379">
        <f t="shared" si="720"/>
        <v>0</v>
      </c>
      <c r="U573" s="379">
        <f t="shared" si="720"/>
        <v>0</v>
      </c>
      <c r="V573" s="379">
        <f t="shared" si="720"/>
        <v>0</v>
      </c>
      <c r="W573" s="379">
        <f t="shared" si="720"/>
        <v>0</v>
      </c>
      <c r="X573" s="379">
        <f t="shared" si="720"/>
        <v>0</v>
      </c>
      <c r="Y573" s="379">
        <f t="shared" si="720"/>
        <v>0</v>
      </c>
      <c r="Z573" s="379">
        <f t="shared" si="720"/>
        <v>0</v>
      </c>
      <c r="AA573" s="379">
        <f t="shared" si="720"/>
        <v>0</v>
      </c>
      <c r="AB573" s="379">
        <f t="shared" si="720"/>
        <v>0</v>
      </c>
      <c r="AC573" s="379">
        <f t="shared" si="720"/>
        <v>0</v>
      </c>
      <c r="AD573" s="379">
        <f t="shared" si="720"/>
        <v>0</v>
      </c>
      <c r="AE573" s="379">
        <f t="shared" si="720"/>
        <v>0</v>
      </c>
      <c r="AF573" s="379">
        <f t="shared" si="720"/>
        <v>0</v>
      </c>
      <c r="AG573" s="379">
        <f t="shared" si="720"/>
        <v>0</v>
      </c>
      <c r="AH573" s="379">
        <f t="shared" si="720"/>
        <v>0</v>
      </c>
      <c r="AI573" s="379">
        <f t="shared" si="720"/>
        <v>0</v>
      </c>
      <c r="AJ573" s="379">
        <f t="shared" si="720"/>
        <v>0</v>
      </c>
      <c r="AK573" s="379">
        <f t="shared" si="720"/>
        <v>0</v>
      </c>
      <c r="AL573" s="379">
        <f t="shared" si="720"/>
        <v>0</v>
      </c>
      <c r="AM573" s="379">
        <f t="shared" si="720"/>
        <v>0</v>
      </c>
      <c r="AN573" s="490">
        <f t="shared" si="720"/>
        <v>0</v>
      </c>
      <c r="AO573" s="379">
        <f t="shared" si="720"/>
        <v>0</v>
      </c>
      <c r="AP573" s="379">
        <f t="shared" si="720"/>
        <v>0</v>
      </c>
      <c r="AQ573" s="379">
        <f t="shared" si="720"/>
        <v>0</v>
      </c>
      <c r="AR573" s="379">
        <f t="shared" si="720"/>
        <v>0</v>
      </c>
      <c r="AS573" s="379">
        <f t="shared" si="720"/>
        <v>0</v>
      </c>
      <c r="AT573" s="379">
        <f t="shared" si="720"/>
        <v>0</v>
      </c>
      <c r="AU573" s="379">
        <f t="shared" si="720"/>
        <v>0</v>
      </c>
      <c r="AV573" s="379">
        <f t="shared" si="720"/>
        <v>0</v>
      </c>
      <c r="AW573" s="379">
        <f t="shared" si="720"/>
        <v>0</v>
      </c>
      <c r="AX573" s="379">
        <f t="shared" si="720"/>
        <v>0</v>
      </c>
      <c r="AY573" s="379">
        <f t="shared" si="720"/>
        <v>0</v>
      </c>
    </row>
    <row r="574" spans="1:51" x14ac:dyDescent="0.2">
      <c r="A574" s="376"/>
      <c r="B574" s="376"/>
      <c r="C574" s="376" t="s">
        <v>267</v>
      </c>
      <c r="D574" s="376"/>
      <c r="E574" s="488"/>
      <c r="F574" s="384"/>
      <c r="G574" s="379">
        <f t="shared" ref="G574:AY574" si="721">MAX(G546:G570)</f>
        <v>51449</v>
      </c>
      <c r="H574" s="379">
        <f t="shared" si="721"/>
        <v>22045</v>
      </c>
      <c r="I574" s="379">
        <f t="shared" si="721"/>
        <v>595</v>
      </c>
      <c r="J574" s="379">
        <f t="shared" si="721"/>
        <v>0</v>
      </c>
      <c r="K574" s="379">
        <f t="shared" si="721"/>
        <v>19165</v>
      </c>
      <c r="L574" s="379">
        <f t="shared" si="721"/>
        <v>0</v>
      </c>
      <c r="M574" s="379">
        <f t="shared" si="721"/>
        <v>19165</v>
      </c>
      <c r="N574" s="379">
        <f t="shared" si="721"/>
        <v>1272</v>
      </c>
      <c r="O574" s="379">
        <f t="shared" si="721"/>
        <v>16250</v>
      </c>
      <c r="P574" s="379">
        <f t="shared" si="721"/>
        <v>0</v>
      </c>
      <c r="Q574" s="379">
        <f t="shared" si="721"/>
        <v>0</v>
      </c>
      <c r="R574" s="379">
        <f t="shared" si="721"/>
        <v>0</v>
      </c>
      <c r="S574" s="379">
        <f t="shared" si="721"/>
        <v>0</v>
      </c>
      <c r="T574" s="379">
        <f t="shared" si="721"/>
        <v>0</v>
      </c>
      <c r="U574" s="379">
        <f t="shared" si="721"/>
        <v>0</v>
      </c>
      <c r="V574" s="379">
        <f t="shared" si="721"/>
        <v>0</v>
      </c>
      <c r="W574" s="379">
        <f t="shared" si="721"/>
        <v>0</v>
      </c>
      <c r="X574" s="379">
        <f t="shared" si="721"/>
        <v>0</v>
      </c>
      <c r="Y574" s="379">
        <f t="shared" si="721"/>
        <v>0</v>
      </c>
      <c r="Z574" s="379">
        <f t="shared" si="721"/>
        <v>0</v>
      </c>
      <c r="AA574" s="379">
        <f t="shared" si="721"/>
        <v>0</v>
      </c>
      <c r="AB574" s="379">
        <f t="shared" si="721"/>
        <v>0</v>
      </c>
      <c r="AC574" s="379">
        <f t="shared" si="721"/>
        <v>0</v>
      </c>
      <c r="AD574" s="379">
        <f t="shared" si="721"/>
        <v>0</v>
      </c>
      <c r="AE574" s="379">
        <f t="shared" si="721"/>
        <v>0</v>
      </c>
      <c r="AF574" s="379">
        <f t="shared" si="721"/>
        <v>0</v>
      </c>
      <c r="AG574" s="379">
        <f t="shared" si="721"/>
        <v>0</v>
      </c>
      <c r="AH574" s="379">
        <f t="shared" si="721"/>
        <v>0</v>
      </c>
      <c r="AI574" s="379">
        <f t="shared" si="721"/>
        <v>0</v>
      </c>
      <c r="AJ574" s="379">
        <f t="shared" si="721"/>
        <v>0</v>
      </c>
      <c r="AK574" s="379">
        <f t="shared" si="721"/>
        <v>0</v>
      </c>
      <c r="AL574" s="379">
        <f t="shared" si="721"/>
        <v>0</v>
      </c>
      <c r="AM574" s="379">
        <f t="shared" si="721"/>
        <v>0</v>
      </c>
      <c r="AN574" s="490">
        <f t="shared" si="721"/>
        <v>0</v>
      </c>
      <c r="AO574" s="379">
        <f t="shared" si="721"/>
        <v>0</v>
      </c>
      <c r="AP574" s="379">
        <f t="shared" si="721"/>
        <v>0</v>
      </c>
      <c r="AQ574" s="379">
        <f t="shared" si="721"/>
        <v>0</v>
      </c>
      <c r="AR574" s="379">
        <f t="shared" si="721"/>
        <v>0</v>
      </c>
      <c r="AS574" s="379">
        <f t="shared" si="721"/>
        <v>0</v>
      </c>
      <c r="AT574" s="379">
        <f t="shared" si="721"/>
        <v>0</v>
      </c>
      <c r="AU574" s="379">
        <f t="shared" si="721"/>
        <v>0</v>
      </c>
      <c r="AV574" s="379">
        <f t="shared" si="721"/>
        <v>0</v>
      </c>
      <c r="AW574" s="379">
        <f t="shared" si="721"/>
        <v>0</v>
      </c>
      <c r="AX574" s="379">
        <f t="shared" si="721"/>
        <v>0</v>
      </c>
      <c r="AY574" s="379">
        <f t="shared" si="721"/>
        <v>0</v>
      </c>
    </row>
    <row r="575" spans="1:51" x14ac:dyDescent="0.2">
      <c r="A575" s="376"/>
      <c r="B575" s="376"/>
      <c r="C575" s="376" t="s">
        <v>268</v>
      </c>
      <c r="D575" s="376"/>
      <c r="E575" s="488"/>
      <c r="F575" s="384"/>
      <c r="G575" s="379">
        <f t="shared" ref="G575:AY575" si="722">AVERAGE(G546:G570)</f>
        <v>13021.68</v>
      </c>
      <c r="H575" s="379">
        <f t="shared" si="722"/>
        <v>6186.96</v>
      </c>
      <c r="I575" s="379">
        <f t="shared" si="722"/>
        <v>339.29519999999997</v>
      </c>
      <c r="J575" s="379" t="e">
        <f t="shared" si="722"/>
        <v>#DIV/0!</v>
      </c>
      <c r="K575" s="379">
        <f t="shared" si="722"/>
        <v>4878.68</v>
      </c>
      <c r="L575" s="379">
        <f t="shared" si="722"/>
        <v>0</v>
      </c>
      <c r="M575" s="379">
        <f t="shared" si="722"/>
        <v>3935</v>
      </c>
      <c r="N575" s="379">
        <f t="shared" si="722"/>
        <v>50.88</v>
      </c>
      <c r="O575" s="379">
        <f t="shared" si="722"/>
        <v>1651.88</v>
      </c>
      <c r="P575" s="379">
        <f t="shared" si="722"/>
        <v>0</v>
      </c>
      <c r="Q575" s="379">
        <f t="shared" si="722"/>
        <v>0</v>
      </c>
      <c r="R575" s="379">
        <f t="shared" si="722"/>
        <v>0</v>
      </c>
      <c r="S575" s="379">
        <f t="shared" si="722"/>
        <v>0</v>
      </c>
      <c r="T575" s="379">
        <f t="shared" si="722"/>
        <v>0</v>
      </c>
      <c r="U575" s="379">
        <f t="shared" si="722"/>
        <v>0</v>
      </c>
      <c r="V575" s="379">
        <f t="shared" si="722"/>
        <v>0</v>
      </c>
      <c r="W575" s="379">
        <f t="shared" si="722"/>
        <v>0</v>
      </c>
      <c r="X575" s="379">
        <f t="shared" si="722"/>
        <v>0</v>
      </c>
      <c r="Y575" s="379">
        <f t="shared" si="722"/>
        <v>0</v>
      </c>
      <c r="Z575" s="379">
        <f t="shared" si="722"/>
        <v>0</v>
      </c>
      <c r="AA575" s="379">
        <f t="shared" si="722"/>
        <v>0</v>
      </c>
      <c r="AB575" s="379">
        <f t="shared" si="722"/>
        <v>0</v>
      </c>
      <c r="AC575" s="379">
        <f t="shared" si="722"/>
        <v>0</v>
      </c>
      <c r="AD575" s="379">
        <f t="shared" si="722"/>
        <v>0</v>
      </c>
      <c r="AE575" s="379">
        <f t="shared" si="722"/>
        <v>0</v>
      </c>
      <c r="AF575" s="379">
        <f t="shared" si="722"/>
        <v>0</v>
      </c>
      <c r="AG575" s="379">
        <f t="shared" si="722"/>
        <v>0</v>
      </c>
      <c r="AH575" s="379">
        <f t="shared" si="722"/>
        <v>0</v>
      </c>
      <c r="AI575" s="379">
        <f t="shared" si="722"/>
        <v>0</v>
      </c>
      <c r="AJ575" s="379">
        <f t="shared" si="722"/>
        <v>0</v>
      </c>
      <c r="AK575" s="379">
        <f t="shared" si="722"/>
        <v>0</v>
      </c>
      <c r="AL575" s="379">
        <f t="shared" si="722"/>
        <v>0</v>
      </c>
      <c r="AM575" s="379">
        <f t="shared" si="722"/>
        <v>0</v>
      </c>
      <c r="AN575" s="490">
        <f t="shared" si="722"/>
        <v>0</v>
      </c>
      <c r="AO575" s="379">
        <f t="shared" si="722"/>
        <v>0</v>
      </c>
      <c r="AP575" s="379">
        <f t="shared" si="722"/>
        <v>0</v>
      </c>
      <c r="AQ575" s="379">
        <f t="shared" si="722"/>
        <v>0</v>
      </c>
      <c r="AR575" s="379">
        <f t="shared" si="722"/>
        <v>0</v>
      </c>
      <c r="AS575" s="379">
        <f t="shared" si="722"/>
        <v>0</v>
      </c>
      <c r="AT575" s="379">
        <f t="shared" si="722"/>
        <v>0</v>
      </c>
      <c r="AU575" s="379">
        <f t="shared" si="722"/>
        <v>0</v>
      </c>
      <c r="AV575" s="379">
        <f t="shared" si="722"/>
        <v>0</v>
      </c>
      <c r="AW575" s="379">
        <f t="shared" si="722"/>
        <v>0</v>
      </c>
      <c r="AX575" s="379">
        <f t="shared" si="722"/>
        <v>0</v>
      </c>
      <c r="AY575" s="379">
        <f t="shared" si="722"/>
        <v>0</v>
      </c>
    </row>
    <row r="576" spans="1:51" ht="13.5" thickBot="1" x14ac:dyDescent="0.25">
      <c r="A576" s="386"/>
      <c r="B576" s="386"/>
      <c r="C576" s="386" t="s">
        <v>269</v>
      </c>
      <c r="D576" s="386"/>
      <c r="E576" s="491"/>
      <c r="F576" s="384"/>
      <c r="G576" s="388">
        <f t="shared" ref="G576:AY576" si="723">MEDIAN(G546:G570)</f>
        <v>6796</v>
      </c>
      <c r="H576" s="388">
        <f t="shared" si="723"/>
        <v>3733</v>
      </c>
      <c r="I576" s="388">
        <f t="shared" si="723"/>
        <v>338.9</v>
      </c>
      <c r="J576" s="388" t="e">
        <f t="shared" si="723"/>
        <v>#NUM!</v>
      </c>
      <c r="K576" s="388">
        <f t="shared" si="723"/>
        <v>3420</v>
      </c>
      <c r="L576" s="388">
        <f t="shared" si="723"/>
        <v>0</v>
      </c>
      <c r="M576" s="388">
        <f t="shared" si="723"/>
        <v>2049</v>
      </c>
      <c r="N576" s="388">
        <f t="shared" si="723"/>
        <v>0</v>
      </c>
      <c r="O576" s="388">
        <f t="shared" si="723"/>
        <v>0</v>
      </c>
      <c r="P576" s="388">
        <f t="shared" si="723"/>
        <v>0</v>
      </c>
      <c r="Q576" s="388">
        <f t="shared" si="723"/>
        <v>0</v>
      </c>
      <c r="R576" s="388">
        <f t="shared" si="723"/>
        <v>0</v>
      </c>
      <c r="S576" s="388">
        <f t="shared" si="723"/>
        <v>0</v>
      </c>
      <c r="T576" s="388">
        <f t="shared" si="723"/>
        <v>0</v>
      </c>
      <c r="U576" s="388">
        <f t="shared" si="723"/>
        <v>0</v>
      </c>
      <c r="V576" s="388">
        <f t="shared" si="723"/>
        <v>0</v>
      </c>
      <c r="W576" s="388">
        <f t="shared" si="723"/>
        <v>0</v>
      </c>
      <c r="X576" s="388">
        <f t="shared" si="723"/>
        <v>0</v>
      </c>
      <c r="Y576" s="388">
        <f t="shared" si="723"/>
        <v>0</v>
      </c>
      <c r="Z576" s="388">
        <f t="shared" si="723"/>
        <v>0</v>
      </c>
      <c r="AA576" s="388">
        <f t="shared" si="723"/>
        <v>0</v>
      </c>
      <c r="AB576" s="388">
        <f t="shared" si="723"/>
        <v>0</v>
      </c>
      <c r="AC576" s="388">
        <f t="shared" si="723"/>
        <v>0</v>
      </c>
      <c r="AD576" s="388">
        <f t="shared" si="723"/>
        <v>0</v>
      </c>
      <c r="AE576" s="388">
        <f t="shared" si="723"/>
        <v>0</v>
      </c>
      <c r="AF576" s="388">
        <f t="shared" si="723"/>
        <v>0</v>
      </c>
      <c r="AG576" s="388">
        <f t="shared" si="723"/>
        <v>0</v>
      </c>
      <c r="AH576" s="388">
        <f t="shared" si="723"/>
        <v>0</v>
      </c>
      <c r="AI576" s="388">
        <f t="shared" si="723"/>
        <v>0</v>
      </c>
      <c r="AJ576" s="388">
        <f t="shared" si="723"/>
        <v>0</v>
      </c>
      <c r="AK576" s="388">
        <f t="shared" si="723"/>
        <v>0</v>
      </c>
      <c r="AL576" s="388">
        <f t="shared" si="723"/>
        <v>0</v>
      </c>
      <c r="AM576" s="388">
        <f t="shared" si="723"/>
        <v>0</v>
      </c>
      <c r="AN576" s="492">
        <f t="shared" si="723"/>
        <v>0</v>
      </c>
      <c r="AO576" s="388">
        <f t="shared" si="723"/>
        <v>0</v>
      </c>
      <c r="AP576" s="388">
        <f t="shared" si="723"/>
        <v>0</v>
      </c>
      <c r="AQ576" s="388">
        <f t="shared" si="723"/>
        <v>0</v>
      </c>
      <c r="AR576" s="388">
        <f t="shared" si="723"/>
        <v>0</v>
      </c>
      <c r="AS576" s="388">
        <f t="shared" si="723"/>
        <v>0</v>
      </c>
      <c r="AT576" s="388">
        <f t="shared" si="723"/>
        <v>0</v>
      </c>
      <c r="AU576" s="388">
        <f t="shared" si="723"/>
        <v>0</v>
      </c>
      <c r="AV576" s="388">
        <f t="shared" si="723"/>
        <v>0</v>
      </c>
      <c r="AW576" s="388">
        <f t="shared" si="723"/>
        <v>0</v>
      </c>
      <c r="AX576" s="388">
        <f t="shared" si="723"/>
        <v>0</v>
      </c>
      <c r="AY576" s="388">
        <f t="shared" si="723"/>
        <v>0</v>
      </c>
    </row>
    <row r="577" spans="1:51" ht="13.5" thickTop="1" x14ac:dyDescent="0.2">
      <c r="B577"/>
      <c r="C577" s="278"/>
      <c r="D577" s="278"/>
      <c r="E577" s="507"/>
    </row>
    <row r="578" spans="1:51" ht="13.5" thickBot="1" x14ac:dyDescent="0.25">
      <c r="A578" s="400"/>
      <c r="B578" s="400"/>
      <c r="C578" s="402" t="s">
        <v>142</v>
      </c>
      <c r="D578" s="402"/>
      <c r="E578" s="503"/>
    </row>
    <row r="579" spans="1:51" ht="13.5" thickTop="1" x14ac:dyDescent="0.2">
      <c r="A579" s="376">
        <v>10800</v>
      </c>
      <c r="B579" s="378" t="str">
        <f t="shared" ref="B579:B587" si="724">VLOOKUP($A579,$A$5:$L$133,2,FALSE)</f>
        <v>Bland (A)</v>
      </c>
      <c r="C579" s="377" t="str">
        <f t="shared" ref="C579:C587" si="725">VLOOKUP($A579,$A$5:$L$133,3,FALSE)</f>
        <v>REROC</v>
      </c>
      <c r="D579" s="503" t="str">
        <f t="shared" ref="D579:D587" si="726">VLOOKUP($A579,$A$5:$L$133,4,FALSE)</f>
        <v>N</v>
      </c>
      <c r="E579" s="503"/>
      <c r="F579"/>
      <c r="G579" s="379">
        <f t="shared" ref="G579:G587" si="727">VLOOKUP($A579,$A$5:$AY$132,7,FALSE)</f>
        <v>5917</v>
      </c>
      <c r="H579" s="379">
        <f t="shared" ref="H579:H587" si="728">VLOOKUP($A579,$A$5:$AY$132,8,FALSE)</f>
        <v>3516</v>
      </c>
      <c r="I579" s="379">
        <f t="shared" ref="I579:I587" si="729">VLOOKUP($A579,$A$5:$AY$132,9,FALSE)</f>
        <v>344</v>
      </c>
      <c r="J579" s="379" t="str">
        <f t="shared" ref="J579:J587" si="730">VLOOKUP($A579,$A$5:$AY$132,10,FALSE)</f>
        <v>Y</v>
      </c>
      <c r="K579" s="379">
        <f t="shared" ref="K579:K587" si="731">VLOOKUP($A579,$A$5:$AY$132,11,FALSE)</f>
        <v>2140</v>
      </c>
      <c r="L579" s="379">
        <f t="shared" ref="L579:L587" si="732">VLOOKUP($A579,$A$5:$AY$132,12,FALSE)</f>
        <v>0</v>
      </c>
      <c r="M579" s="379">
        <f t="shared" ref="M579:M587" si="733">VLOOKUP($A579,$A$4:$AY$132,13,FALSE)</f>
        <v>0</v>
      </c>
      <c r="N579" s="379">
        <f t="shared" ref="N579:N587" si="734">VLOOKUP($A579,$A$4:$AY$132,14,FALSE)</f>
        <v>0</v>
      </c>
      <c r="O579" s="379">
        <f t="shared" ref="O579:O587" si="735">VLOOKUP($A579,$A$4:$AY$132,15,FALSE)</f>
        <v>0</v>
      </c>
      <c r="P579" s="379">
        <f t="shared" ref="P579:P587" si="736">VLOOKUP($A579,$A$4:$AY$132,16,FALSE)</f>
        <v>0</v>
      </c>
      <c r="Q579" s="379" t="str">
        <f t="shared" ref="Q579:Q587" si="737">VLOOKUP($A579,$A$4:$AY$132,17,FALSE)</f>
        <v>Y</v>
      </c>
      <c r="R579" s="379" t="str">
        <f t="shared" ref="R579:R587" si="738">VLOOKUP($A579,$A$4:$AY$132,18,FALSE)</f>
        <v>West Wyalong Landfill</v>
      </c>
      <c r="S579" s="379">
        <f t="shared" ref="S579:S587" si="739">VLOOKUP($A579,$A$4:$AY$132,19,FALSE)</f>
        <v>0</v>
      </c>
      <c r="T579" s="379">
        <f t="shared" ref="T579:T587" si="740">VLOOKUP($A579,$A$4:$AY$132,20,FALSE)</f>
        <v>0</v>
      </c>
      <c r="U579" s="379">
        <f t="shared" ref="U579:U587" si="741">VLOOKUP($A579,$A$4:$AY$132,21,FALSE)</f>
        <v>0</v>
      </c>
      <c r="V579" s="379">
        <f t="shared" ref="V579:V587" si="742">VLOOKUP($A579,$A$4:$AY$132,22,FALSE)</f>
        <v>0</v>
      </c>
      <c r="W579" s="379">
        <f t="shared" ref="W579:W587" si="743">VLOOKUP($A579,$A$4:$AY$132,23,FALSE)</f>
        <v>0</v>
      </c>
      <c r="X579" s="379">
        <f t="shared" ref="X579:X587" si="744">VLOOKUP($A579,$A$4:$AY$132,24,FALSE)</f>
        <v>0</v>
      </c>
      <c r="Y579" s="379">
        <f t="shared" ref="Y579:Y587" si="745">VLOOKUP($A579,$A$4:$AY$132,25,FALSE)</f>
        <v>0</v>
      </c>
      <c r="Z579" s="379">
        <f t="shared" ref="Z579:Z587" si="746">VLOOKUP($A579,$A$4:$AY$132,26,FALSE)</f>
        <v>0</v>
      </c>
      <c r="AA579" s="379">
        <f t="shared" ref="AA579:AA587" si="747">VLOOKUP($A579,$A$4:$AY$132,27,FALSE)</f>
        <v>0</v>
      </c>
      <c r="AB579" s="379">
        <f t="shared" ref="AB579:AB587" si="748">VLOOKUP($A579,$A$4:$AY$132,28,FALSE)</f>
        <v>0</v>
      </c>
      <c r="AC579" s="379">
        <f t="shared" ref="AC579:AC587" si="749">VLOOKUP($A579,$A$4:$AY$132,29,FALSE)</f>
        <v>0</v>
      </c>
      <c r="AD579" s="379">
        <f t="shared" ref="AD579:AD587" si="750">VLOOKUP($A579,$A$4:$AY$132,30,FALSE)</f>
        <v>0</v>
      </c>
      <c r="AE579" s="379">
        <f t="shared" ref="AE579:AE587" si="751">VLOOKUP($A579,$A$4:$AY$132,31,FALSE)</f>
        <v>0</v>
      </c>
      <c r="AF579" s="379">
        <f t="shared" ref="AF579:AF587" si="752">VLOOKUP($A579,$A$4:$AY$132,32,FALSE)</f>
        <v>0</v>
      </c>
      <c r="AG579" s="379">
        <f t="shared" ref="AG579:AG587" si="753">VLOOKUP($A579,$A$4:$AY$132,33,FALSE)</f>
        <v>0</v>
      </c>
      <c r="AH579" s="379">
        <f t="shared" ref="AH579:AH587" si="754">VLOOKUP($A579,$A$4:$AY$132,34,FALSE)</f>
        <v>0</v>
      </c>
      <c r="AI579" s="379">
        <f t="shared" ref="AI579:AI587" si="755">VLOOKUP($A579,$A$4:$AY$132,35,FALSE)</f>
        <v>0</v>
      </c>
      <c r="AJ579" s="379">
        <f t="shared" ref="AJ579:AJ587" si="756">VLOOKUP($A579,$A$4:$AY$132,36,FALSE)</f>
        <v>0</v>
      </c>
      <c r="AK579" s="379">
        <f t="shared" ref="AK579:AK587" si="757">VLOOKUP($A579,$A$4:$AY$132,37,FALSE)</f>
        <v>0</v>
      </c>
      <c r="AL579" s="379">
        <f t="shared" ref="AL579:AL587" si="758">VLOOKUP($A579,$A$4:$AY$132,38,FALSE)</f>
        <v>0</v>
      </c>
      <c r="AM579" s="379">
        <f t="shared" ref="AM579:AM587" si="759">VLOOKUP($A579,$A$4:$AY$132,39,FALSE)</f>
        <v>0</v>
      </c>
      <c r="AN579" s="490">
        <f t="shared" ref="AN579:AN587" si="760">VLOOKUP($A579,$A$4:$AY$132,40,FALSE)</f>
        <v>0</v>
      </c>
      <c r="AO579" s="379">
        <f t="shared" ref="AO579:AO587" si="761">VLOOKUP($A579,$A$4:$AY$132,41,FALSE)</f>
        <v>0</v>
      </c>
      <c r="AP579" s="379">
        <f t="shared" ref="AP579:AP587" si="762">VLOOKUP($A579,$A$4:$AY$132,42,FALSE)</f>
        <v>0</v>
      </c>
      <c r="AQ579" s="379">
        <f t="shared" ref="AQ579:AQ587" si="763">VLOOKUP($A579,$A$4:$AY$132,43,FALSE)</f>
        <v>0</v>
      </c>
      <c r="AR579" s="379">
        <f t="shared" ref="AR579:AR587" si="764">VLOOKUP($A579,$A$4:$AY$132,44,FALSE)</f>
        <v>0</v>
      </c>
      <c r="AS579" s="379">
        <f t="shared" ref="AS579:AS587" si="765">VLOOKUP($A579,$A$4:$AY$132,45,FALSE)</f>
        <v>0</v>
      </c>
      <c r="AT579" s="379">
        <f t="shared" ref="AT579:AT587" si="766">VLOOKUP($A579,$A$4:$AY$132,46,FALSE)</f>
        <v>0</v>
      </c>
      <c r="AU579" s="379">
        <f t="shared" ref="AU579:AU587" si="767">VLOOKUP($A579,$A$4:$AY$132,47,FALSE)</f>
        <v>0</v>
      </c>
      <c r="AV579" s="379">
        <f t="shared" ref="AV579:AV587" si="768">VLOOKUP($A579,$A$4:$AY$132,48,FALSE)</f>
        <v>0</v>
      </c>
      <c r="AW579" s="379">
        <f t="shared" ref="AW579:AW587" si="769">VLOOKUP($A579,$A$4:$AY$132,49,FALSE)</f>
        <v>0</v>
      </c>
      <c r="AX579" s="379">
        <f t="shared" ref="AX579:AX587" si="770">VLOOKUP($A579,$A$4:$AY$132,50,FALSE)</f>
        <v>0</v>
      </c>
      <c r="AY579" s="379">
        <f t="shared" ref="AY579:AY587" si="771">VLOOKUP($A579,$A$4:$AY$132,51,FALSE)</f>
        <v>0</v>
      </c>
    </row>
    <row r="580" spans="1:51" x14ac:dyDescent="0.2">
      <c r="A580" s="376">
        <v>12000</v>
      </c>
      <c r="B580" s="378" t="str">
        <f t="shared" si="724"/>
        <v>Coolamon (A)</v>
      </c>
      <c r="C580" s="377" t="str">
        <f t="shared" si="725"/>
        <v>REROC</v>
      </c>
      <c r="D580" s="503" t="str">
        <f t="shared" si="726"/>
        <v>N</v>
      </c>
      <c r="E580" s="503"/>
      <c r="F580"/>
      <c r="G580" s="379">
        <f t="shared" si="727"/>
        <v>4419</v>
      </c>
      <c r="H580" s="379">
        <f t="shared" si="728"/>
        <v>2020</v>
      </c>
      <c r="I580" s="379">
        <f t="shared" si="729"/>
        <v>265</v>
      </c>
      <c r="J580" s="379" t="str">
        <f t="shared" si="730"/>
        <v>Y</v>
      </c>
      <c r="K580" s="379">
        <f t="shared" si="731"/>
        <v>1651</v>
      </c>
      <c r="L580" s="379">
        <f t="shared" si="732"/>
        <v>0</v>
      </c>
      <c r="M580" s="379">
        <f t="shared" si="733"/>
        <v>1613</v>
      </c>
      <c r="N580" s="379">
        <f t="shared" si="734"/>
        <v>0</v>
      </c>
      <c r="O580" s="379">
        <f t="shared" si="735"/>
        <v>1162</v>
      </c>
      <c r="P580" s="379" t="str">
        <f t="shared" si="736"/>
        <v>Y</v>
      </c>
      <c r="Q580" s="379">
        <f t="shared" si="737"/>
        <v>0</v>
      </c>
      <c r="R580" s="379">
        <f t="shared" si="738"/>
        <v>0</v>
      </c>
      <c r="S580" s="379">
        <f t="shared" si="739"/>
        <v>0</v>
      </c>
      <c r="T580" s="379">
        <f t="shared" si="740"/>
        <v>0</v>
      </c>
      <c r="U580" s="379">
        <f t="shared" si="741"/>
        <v>0</v>
      </c>
      <c r="V580" s="379">
        <f t="shared" si="742"/>
        <v>0</v>
      </c>
      <c r="W580" s="379">
        <f t="shared" si="743"/>
        <v>0</v>
      </c>
      <c r="X580" s="379">
        <f t="shared" si="744"/>
        <v>0</v>
      </c>
      <c r="Y580" s="379">
        <f t="shared" si="745"/>
        <v>0</v>
      </c>
      <c r="Z580" s="379">
        <f t="shared" si="746"/>
        <v>0</v>
      </c>
      <c r="AA580" s="379">
        <f t="shared" si="747"/>
        <v>0</v>
      </c>
      <c r="AB580" s="379">
        <f t="shared" si="748"/>
        <v>0</v>
      </c>
      <c r="AC580" s="379">
        <f t="shared" si="749"/>
        <v>0</v>
      </c>
      <c r="AD580" s="379">
        <f t="shared" si="750"/>
        <v>0</v>
      </c>
      <c r="AE580" s="379">
        <f t="shared" si="751"/>
        <v>0</v>
      </c>
      <c r="AF580" s="379">
        <f t="shared" si="752"/>
        <v>0</v>
      </c>
      <c r="AG580" s="379">
        <f t="shared" si="753"/>
        <v>0</v>
      </c>
      <c r="AH580" s="379">
        <f t="shared" si="754"/>
        <v>0</v>
      </c>
      <c r="AI580" s="379">
        <f t="shared" si="755"/>
        <v>0</v>
      </c>
      <c r="AJ580" s="379">
        <f t="shared" si="756"/>
        <v>0</v>
      </c>
      <c r="AK580" s="379">
        <f t="shared" si="757"/>
        <v>0</v>
      </c>
      <c r="AL580" s="379">
        <f t="shared" si="758"/>
        <v>0</v>
      </c>
      <c r="AM580" s="379">
        <f t="shared" si="759"/>
        <v>0</v>
      </c>
      <c r="AN580" s="490">
        <f t="shared" si="760"/>
        <v>0</v>
      </c>
      <c r="AO580" s="379">
        <f t="shared" si="761"/>
        <v>0</v>
      </c>
      <c r="AP580" s="379">
        <f t="shared" si="762"/>
        <v>0</v>
      </c>
      <c r="AQ580" s="379">
        <f t="shared" si="763"/>
        <v>0</v>
      </c>
      <c r="AR580" s="379">
        <f t="shared" si="764"/>
        <v>0</v>
      </c>
      <c r="AS580" s="379">
        <f t="shared" si="765"/>
        <v>0</v>
      </c>
      <c r="AT580" s="379">
        <f t="shared" si="766"/>
        <v>0</v>
      </c>
      <c r="AU580" s="379">
        <f t="shared" si="767"/>
        <v>0</v>
      </c>
      <c r="AV580" s="379">
        <f t="shared" si="768"/>
        <v>0</v>
      </c>
      <c r="AW580" s="379">
        <f t="shared" si="769"/>
        <v>0</v>
      </c>
      <c r="AX580" s="379">
        <f t="shared" si="770"/>
        <v>0</v>
      </c>
      <c r="AY580" s="379">
        <f t="shared" si="771"/>
        <v>0</v>
      </c>
    </row>
    <row r="581" spans="1:51" x14ac:dyDescent="0.2">
      <c r="A581" s="376">
        <v>13340</v>
      </c>
      <c r="B581" s="378" t="str">
        <f t="shared" si="724"/>
        <v>Greater Hume Shire (A)</v>
      </c>
      <c r="C581" s="377" t="str">
        <f t="shared" si="725"/>
        <v>REROC</v>
      </c>
      <c r="D581" s="503" t="str">
        <f t="shared" si="726"/>
        <v>N</v>
      </c>
      <c r="E581" s="503"/>
      <c r="F581"/>
      <c r="G581" s="576">
        <f t="shared" si="727"/>
        <v>10406</v>
      </c>
      <c r="H581" s="576">
        <f t="shared" si="728"/>
        <v>3620</v>
      </c>
      <c r="I581" s="576">
        <f t="shared" si="729"/>
        <v>239</v>
      </c>
      <c r="J581" s="576" t="str">
        <f t="shared" si="730"/>
        <v>Y</v>
      </c>
      <c r="K581" s="576">
        <f t="shared" si="731"/>
        <v>2930</v>
      </c>
      <c r="L581" s="576">
        <f t="shared" si="732"/>
        <v>0</v>
      </c>
      <c r="M581" s="576">
        <f t="shared" si="733"/>
        <v>2880</v>
      </c>
      <c r="N581" s="576">
        <f t="shared" si="734"/>
        <v>0</v>
      </c>
      <c r="O581" s="576">
        <f t="shared" si="735"/>
        <v>0</v>
      </c>
      <c r="P581" s="576">
        <f t="shared" si="736"/>
        <v>0</v>
      </c>
      <c r="Q581" s="576" t="str">
        <f t="shared" si="737"/>
        <v>Y</v>
      </c>
      <c r="R581" s="576" t="str">
        <f t="shared" si="738"/>
        <v>culcairn</v>
      </c>
      <c r="S581" s="576" t="str">
        <f t="shared" si="739"/>
        <v>Holbrook</v>
      </c>
      <c r="T581" s="576" t="str">
        <f t="shared" si="740"/>
        <v>Brocklesby</v>
      </c>
      <c r="U581" s="576" t="str">
        <f t="shared" si="741"/>
        <v>Gerogery</v>
      </c>
      <c r="V581" s="576" t="str">
        <f t="shared" si="742"/>
        <v>Jindera</v>
      </c>
      <c r="W581" s="576" t="str">
        <f t="shared" si="743"/>
        <v>other</v>
      </c>
      <c r="X581" s="576">
        <f t="shared" si="744"/>
        <v>0</v>
      </c>
      <c r="Y581" s="576">
        <f t="shared" si="745"/>
        <v>0</v>
      </c>
      <c r="Z581" s="576">
        <f t="shared" si="746"/>
        <v>0</v>
      </c>
      <c r="AA581" s="576">
        <f t="shared" si="747"/>
        <v>0</v>
      </c>
      <c r="AB581" s="576">
        <f t="shared" si="748"/>
        <v>0</v>
      </c>
      <c r="AC581" s="576">
        <f t="shared" si="749"/>
        <v>0</v>
      </c>
      <c r="AD581" s="576">
        <f t="shared" si="750"/>
        <v>0</v>
      </c>
      <c r="AE581" s="576">
        <f t="shared" si="751"/>
        <v>0</v>
      </c>
      <c r="AF581" s="576">
        <f t="shared" si="752"/>
        <v>0</v>
      </c>
      <c r="AG581" s="576">
        <f t="shared" si="753"/>
        <v>0</v>
      </c>
      <c r="AH581" s="576">
        <f t="shared" si="754"/>
        <v>0</v>
      </c>
      <c r="AI581" s="576">
        <f t="shared" si="755"/>
        <v>0</v>
      </c>
      <c r="AJ581" s="576">
        <f t="shared" si="756"/>
        <v>0</v>
      </c>
      <c r="AK581" s="576">
        <f t="shared" si="757"/>
        <v>0</v>
      </c>
      <c r="AL581" s="576">
        <f t="shared" si="758"/>
        <v>0</v>
      </c>
      <c r="AM581" s="576">
        <f t="shared" si="759"/>
        <v>0</v>
      </c>
      <c r="AN581" s="577">
        <f t="shared" si="760"/>
        <v>0</v>
      </c>
      <c r="AO581" s="576">
        <f t="shared" si="761"/>
        <v>0</v>
      </c>
      <c r="AP581" s="576">
        <f t="shared" si="762"/>
        <v>0</v>
      </c>
      <c r="AQ581" s="576">
        <f t="shared" si="763"/>
        <v>0</v>
      </c>
      <c r="AR581" s="576">
        <f t="shared" si="764"/>
        <v>0</v>
      </c>
      <c r="AS581" s="576">
        <f t="shared" si="765"/>
        <v>0</v>
      </c>
      <c r="AT581" s="576">
        <f t="shared" si="766"/>
        <v>0</v>
      </c>
      <c r="AU581" s="576">
        <f t="shared" si="767"/>
        <v>0</v>
      </c>
      <c r="AV581" s="576">
        <f t="shared" si="768"/>
        <v>0</v>
      </c>
      <c r="AW581" s="576">
        <f t="shared" si="769"/>
        <v>0</v>
      </c>
      <c r="AX581" s="576">
        <f t="shared" si="770"/>
        <v>0</v>
      </c>
      <c r="AY581" s="576">
        <f t="shared" si="771"/>
        <v>0</v>
      </c>
    </row>
    <row r="582" spans="1:51" x14ac:dyDescent="0.2">
      <c r="A582" s="376">
        <v>13510</v>
      </c>
      <c r="B582" s="378" t="str">
        <f t="shared" si="724"/>
        <v>Gundagai - Cootamundra (A)</v>
      </c>
      <c r="C582" s="377" t="str">
        <f t="shared" si="725"/>
        <v>REROC</v>
      </c>
      <c r="D582" s="503" t="str">
        <f t="shared" si="726"/>
        <v>N</v>
      </c>
      <c r="E582" s="503"/>
      <c r="F582"/>
      <c r="G582" s="379">
        <f t="shared" si="727"/>
        <v>11392</v>
      </c>
      <c r="H582" s="379">
        <f t="shared" si="728"/>
        <v>5193</v>
      </c>
      <c r="I582" s="379">
        <f t="shared" si="729"/>
        <v>385.5</v>
      </c>
      <c r="J582" s="379" t="str">
        <f t="shared" si="730"/>
        <v>Y</v>
      </c>
      <c r="K582" s="379">
        <f t="shared" si="731"/>
        <v>5193</v>
      </c>
      <c r="L582" s="379">
        <f t="shared" si="732"/>
        <v>0</v>
      </c>
      <c r="M582" s="379">
        <f t="shared" si="733"/>
        <v>5193</v>
      </c>
      <c r="N582" s="379">
        <f t="shared" si="734"/>
        <v>3495</v>
      </c>
      <c r="O582" s="379">
        <f t="shared" si="735"/>
        <v>880</v>
      </c>
      <c r="P582" s="379">
        <f t="shared" si="736"/>
        <v>0</v>
      </c>
      <c r="Q582" s="379" t="str">
        <f t="shared" si="737"/>
        <v>Y</v>
      </c>
      <c r="R582" s="379" t="str">
        <f t="shared" si="738"/>
        <v>Turners Lane</v>
      </c>
      <c r="S582" s="379" t="str">
        <f t="shared" si="739"/>
        <v>Stockinbingal Landfill</v>
      </c>
      <c r="T582" s="379" t="str">
        <f t="shared" si="740"/>
        <v>Wallendbeen Landfill</v>
      </c>
      <c r="U582" s="379" t="str">
        <f t="shared" si="741"/>
        <v xml:space="preserve">Gundagai Landfill </v>
      </c>
      <c r="V582" s="379" t="str">
        <f t="shared" si="742"/>
        <v>4 transfer stations</v>
      </c>
      <c r="W582" s="379">
        <f t="shared" si="743"/>
        <v>0</v>
      </c>
      <c r="X582" s="379">
        <f t="shared" si="744"/>
        <v>0</v>
      </c>
      <c r="Y582" s="379">
        <f t="shared" si="745"/>
        <v>0</v>
      </c>
      <c r="Z582" s="379">
        <f t="shared" si="746"/>
        <v>0</v>
      </c>
      <c r="AA582" s="379">
        <f t="shared" si="747"/>
        <v>0</v>
      </c>
      <c r="AB582" s="379">
        <f t="shared" si="748"/>
        <v>0</v>
      </c>
      <c r="AC582" s="379">
        <f t="shared" si="749"/>
        <v>0</v>
      </c>
      <c r="AD582" s="379">
        <f t="shared" si="750"/>
        <v>0</v>
      </c>
      <c r="AE582" s="379">
        <f t="shared" si="751"/>
        <v>0</v>
      </c>
      <c r="AF582" s="379">
        <f t="shared" si="752"/>
        <v>0</v>
      </c>
      <c r="AG582" s="379">
        <f t="shared" si="753"/>
        <v>0</v>
      </c>
      <c r="AH582" s="379">
        <f t="shared" si="754"/>
        <v>0</v>
      </c>
      <c r="AI582" s="379">
        <f t="shared" si="755"/>
        <v>0</v>
      </c>
      <c r="AJ582" s="379">
        <f t="shared" si="756"/>
        <v>0</v>
      </c>
      <c r="AK582" s="379">
        <f t="shared" si="757"/>
        <v>0</v>
      </c>
      <c r="AL582" s="379">
        <f t="shared" si="758"/>
        <v>0</v>
      </c>
      <c r="AM582" s="379">
        <f t="shared" si="759"/>
        <v>0</v>
      </c>
      <c r="AN582" s="490">
        <f t="shared" si="760"/>
        <v>0</v>
      </c>
      <c r="AO582" s="379">
        <f t="shared" si="761"/>
        <v>0</v>
      </c>
      <c r="AP582" s="379">
        <f t="shared" si="762"/>
        <v>0</v>
      </c>
      <c r="AQ582" s="379">
        <f t="shared" si="763"/>
        <v>0</v>
      </c>
      <c r="AR582" s="379">
        <f t="shared" si="764"/>
        <v>0</v>
      </c>
      <c r="AS582" s="379">
        <f t="shared" si="765"/>
        <v>0</v>
      </c>
      <c r="AT582" s="379">
        <f t="shared" si="766"/>
        <v>0</v>
      </c>
      <c r="AU582" s="379">
        <f t="shared" si="767"/>
        <v>0</v>
      </c>
      <c r="AV582" s="379">
        <f t="shared" si="768"/>
        <v>0</v>
      </c>
      <c r="AW582" s="379">
        <f t="shared" si="769"/>
        <v>0</v>
      </c>
      <c r="AX582" s="379">
        <f t="shared" si="770"/>
        <v>0</v>
      </c>
      <c r="AY582" s="379">
        <f t="shared" si="771"/>
        <v>0</v>
      </c>
    </row>
    <row r="583" spans="1:51" x14ac:dyDescent="0.2">
      <c r="A583" s="376">
        <v>14300</v>
      </c>
      <c r="B583" s="378" t="str">
        <f t="shared" si="724"/>
        <v>Junee (A)</v>
      </c>
      <c r="C583" s="377" t="str">
        <f t="shared" si="725"/>
        <v>REROC</v>
      </c>
      <c r="D583" s="503" t="str">
        <f t="shared" si="726"/>
        <v>N</v>
      </c>
      <c r="E583" s="503"/>
      <c r="F583"/>
      <c r="G583" s="379">
        <f t="shared" si="727"/>
        <v>6329</v>
      </c>
      <c r="H583" s="379">
        <f t="shared" si="728"/>
        <v>1914</v>
      </c>
      <c r="I583" s="379">
        <f t="shared" si="729"/>
        <v>277</v>
      </c>
      <c r="J583" s="379" t="str">
        <f t="shared" si="730"/>
        <v>Y</v>
      </c>
      <c r="K583" s="379">
        <f t="shared" si="731"/>
        <v>1740</v>
      </c>
      <c r="L583" s="379">
        <f t="shared" si="732"/>
        <v>0</v>
      </c>
      <c r="M583" s="379">
        <f t="shared" si="733"/>
        <v>1740</v>
      </c>
      <c r="N583" s="379">
        <f t="shared" si="734"/>
        <v>0</v>
      </c>
      <c r="O583" s="379">
        <f t="shared" si="735"/>
        <v>1740</v>
      </c>
      <c r="P583" s="379">
        <f t="shared" si="736"/>
        <v>0</v>
      </c>
      <c r="Q583" s="379" t="str">
        <f t="shared" si="737"/>
        <v>Y</v>
      </c>
      <c r="R583" s="379" t="str">
        <f t="shared" si="738"/>
        <v>Junee Landfill</v>
      </c>
      <c r="S583" s="379" t="str">
        <f t="shared" si="739"/>
        <v>Rural Transfer Stations</v>
      </c>
      <c r="T583" s="379">
        <f t="shared" si="740"/>
        <v>0</v>
      </c>
      <c r="U583" s="379">
        <f t="shared" si="741"/>
        <v>0</v>
      </c>
      <c r="V583" s="379">
        <f t="shared" si="742"/>
        <v>0</v>
      </c>
      <c r="W583" s="379">
        <f t="shared" si="743"/>
        <v>0</v>
      </c>
      <c r="X583" s="379">
        <f t="shared" si="744"/>
        <v>0</v>
      </c>
      <c r="Y583" s="379">
        <f t="shared" si="745"/>
        <v>0</v>
      </c>
      <c r="Z583" s="379">
        <f t="shared" si="746"/>
        <v>0</v>
      </c>
      <c r="AA583" s="379">
        <f t="shared" si="747"/>
        <v>0</v>
      </c>
      <c r="AB583" s="379">
        <f t="shared" si="748"/>
        <v>0</v>
      </c>
      <c r="AC583" s="379">
        <f t="shared" si="749"/>
        <v>0</v>
      </c>
      <c r="AD583" s="379">
        <f t="shared" si="750"/>
        <v>0</v>
      </c>
      <c r="AE583" s="379">
        <f t="shared" si="751"/>
        <v>0</v>
      </c>
      <c r="AF583" s="379">
        <f t="shared" si="752"/>
        <v>0</v>
      </c>
      <c r="AG583" s="379">
        <f t="shared" si="753"/>
        <v>0</v>
      </c>
      <c r="AH583" s="379">
        <f t="shared" si="754"/>
        <v>0</v>
      </c>
      <c r="AI583" s="379">
        <f t="shared" si="755"/>
        <v>0</v>
      </c>
      <c r="AJ583" s="379">
        <f t="shared" si="756"/>
        <v>0</v>
      </c>
      <c r="AK583" s="379">
        <f t="shared" si="757"/>
        <v>0</v>
      </c>
      <c r="AL583" s="379">
        <f t="shared" si="758"/>
        <v>0</v>
      </c>
      <c r="AM583" s="379">
        <f t="shared" si="759"/>
        <v>0</v>
      </c>
      <c r="AN583" s="490">
        <f t="shared" si="760"/>
        <v>0</v>
      </c>
      <c r="AO583" s="379">
        <f t="shared" si="761"/>
        <v>0</v>
      </c>
      <c r="AP583" s="379">
        <f t="shared" si="762"/>
        <v>0</v>
      </c>
      <c r="AQ583" s="379">
        <f t="shared" si="763"/>
        <v>0</v>
      </c>
      <c r="AR583" s="379">
        <f t="shared" si="764"/>
        <v>0</v>
      </c>
      <c r="AS583" s="379">
        <f t="shared" si="765"/>
        <v>0</v>
      </c>
      <c r="AT583" s="379">
        <f t="shared" si="766"/>
        <v>0</v>
      </c>
      <c r="AU583" s="379">
        <f t="shared" si="767"/>
        <v>0</v>
      </c>
      <c r="AV583" s="379">
        <f t="shared" si="768"/>
        <v>0</v>
      </c>
      <c r="AW583" s="379">
        <f t="shared" si="769"/>
        <v>0</v>
      </c>
      <c r="AX583" s="379">
        <f t="shared" si="770"/>
        <v>0</v>
      </c>
      <c r="AY583" s="379">
        <f t="shared" si="771"/>
        <v>0</v>
      </c>
    </row>
    <row r="584" spans="1:51" x14ac:dyDescent="0.2">
      <c r="A584" s="376">
        <v>14950</v>
      </c>
      <c r="B584" s="378" t="str">
        <f t="shared" si="724"/>
        <v>Lockhart (A)</v>
      </c>
      <c r="C584" s="377" t="str">
        <f t="shared" si="725"/>
        <v>REROC</v>
      </c>
      <c r="D584" s="503" t="str">
        <f t="shared" si="726"/>
        <v>N</v>
      </c>
      <c r="E584" s="503"/>
      <c r="F584"/>
      <c r="G584" s="379">
        <f t="shared" si="727"/>
        <v>3103</v>
      </c>
      <c r="H584" s="379">
        <f t="shared" si="728"/>
        <v>2237</v>
      </c>
      <c r="I584" s="379">
        <f t="shared" si="729"/>
        <v>365</v>
      </c>
      <c r="J584" s="379" t="str">
        <f t="shared" si="730"/>
        <v>Y</v>
      </c>
      <c r="K584" s="379">
        <f t="shared" si="731"/>
        <v>984</v>
      </c>
      <c r="L584" s="379">
        <f t="shared" si="732"/>
        <v>0</v>
      </c>
      <c r="M584" s="379">
        <f t="shared" si="733"/>
        <v>971</v>
      </c>
      <c r="N584" s="379">
        <f t="shared" si="734"/>
        <v>0</v>
      </c>
      <c r="O584" s="379">
        <f t="shared" si="735"/>
        <v>0</v>
      </c>
      <c r="P584" s="379" t="str">
        <f t="shared" si="736"/>
        <v>Y</v>
      </c>
      <c r="Q584" s="379" t="str">
        <f t="shared" si="737"/>
        <v>Y</v>
      </c>
      <c r="R584" s="379" t="str">
        <f t="shared" si="738"/>
        <v>The Rock Cardboard</v>
      </c>
      <c r="S584" s="379" t="str">
        <f t="shared" si="739"/>
        <v>Lockhart Lions Club</v>
      </c>
      <c r="T584" s="379" t="str">
        <f t="shared" si="740"/>
        <v>REROC Household Hazardous Waste Collection</v>
      </c>
      <c r="U584" s="379" t="str">
        <f t="shared" si="741"/>
        <v>Lockhart Community Recycling Centre</v>
      </c>
      <c r="V584" s="379">
        <f t="shared" si="742"/>
        <v>0</v>
      </c>
      <c r="W584" s="379">
        <f t="shared" si="743"/>
        <v>0</v>
      </c>
      <c r="X584" s="379">
        <f t="shared" si="744"/>
        <v>0</v>
      </c>
      <c r="Y584" s="379">
        <f t="shared" si="745"/>
        <v>0</v>
      </c>
      <c r="Z584" s="379">
        <f t="shared" si="746"/>
        <v>0</v>
      </c>
      <c r="AA584" s="379">
        <f t="shared" si="747"/>
        <v>0</v>
      </c>
      <c r="AB584" s="379">
        <f t="shared" si="748"/>
        <v>0</v>
      </c>
      <c r="AC584" s="379">
        <f t="shared" si="749"/>
        <v>0</v>
      </c>
      <c r="AD584" s="379">
        <f t="shared" si="750"/>
        <v>0</v>
      </c>
      <c r="AE584" s="379">
        <f t="shared" si="751"/>
        <v>0</v>
      </c>
      <c r="AF584" s="379">
        <f t="shared" si="752"/>
        <v>0</v>
      </c>
      <c r="AG584" s="379">
        <f t="shared" si="753"/>
        <v>0</v>
      </c>
      <c r="AH584" s="379">
        <f t="shared" si="754"/>
        <v>0</v>
      </c>
      <c r="AI584" s="379">
        <f t="shared" si="755"/>
        <v>0</v>
      </c>
      <c r="AJ584" s="379">
        <f t="shared" si="756"/>
        <v>0</v>
      </c>
      <c r="AK584" s="379">
        <f t="shared" si="757"/>
        <v>0</v>
      </c>
      <c r="AL584" s="379">
        <f t="shared" si="758"/>
        <v>0</v>
      </c>
      <c r="AM584" s="379">
        <f t="shared" si="759"/>
        <v>0</v>
      </c>
      <c r="AN584" s="490">
        <f t="shared" si="760"/>
        <v>0</v>
      </c>
      <c r="AO584" s="379">
        <f t="shared" si="761"/>
        <v>0</v>
      </c>
      <c r="AP584" s="379">
        <f t="shared" si="762"/>
        <v>0</v>
      </c>
      <c r="AQ584" s="379">
        <f t="shared" si="763"/>
        <v>0</v>
      </c>
      <c r="AR584" s="379">
        <f t="shared" si="764"/>
        <v>0</v>
      </c>
      <c r="AS584" s="379">
        <f t="shared" si="765"/>
        <v>0</v>
      </c>
      <c r="AT584" s="379">
        <f t="shared" si="766"/>
        <v>0</v>
      </c>
      <c r="AU584" s="379">
        <f t="shared" si="767"/>
        <v>0</v>
      </c>
      <c r="AV584" s="379">
        <f t="shared" si="768"/>
        <v>0</v>
      </c>
      <c r="AW584" s="379">
        <f t="shared" si="769"/>
        <v>0</v>
      </c>
      <c r="AX584" s="379">
        <f t="shared" si="770"/>
        <v>0</v>
      </c>
      <c r="AY584" s="379">
        <f t="shared" si="771"/>
        <v>0</v>
      </c>
    </row>
    <row r="585" spans="1:51" x14ac:dyDescent="0.2">
      <c r="A585" s="376">
        <v>17080</v>
      </c>
      <c r="B585" s="378" t="str">
        <f t="shared" si="724"/>
        <v>Snowy Valleys (A)</v>
      </c>
      <c r="C585" s="377" t="str">
        <f t="shared" si="725"/>
        <v>REROC</v>
      </c>
      <c r="D585" s="503" t="str">
        <f t="shared" si="726"/>
        <v>N</v>
      </c>
      <c r="E585" s="503"/>
      <c r="F585"/>
      <c r="G585" s="379">
        <f t="shared" si="727"/>
        <v>15013</v>
      </c>
      <c r="H585" s="379">
        <f t="shared" si="728"/>
        <v>5752</v>
      </c>
      <c r="I585" s="379">
        <f t="shared" si="729"/>
        <v>399</v>
      </c>
      <c r="J585" s="379" t="str">
        <f t="shared" si="730"/>
        <v>Y</v>
      </c>
      <c r="K585" s="379">
        <f t="shared" si="731"/>
        <v>5650</v>
      </c>
      <c r="L585" s="379">
        <f t="shared" si="732"/>
        <v>0</v>
      </c>
      <c r="M585" s="379">
        <f t="shared" si="733"/>
        <v>5678</v>
      </c>
      <c r="N585" s="379">
        <f t="shared" si="734"/>
        <v>0</v>
      </c>
      <c r="O585" s="379">
        <f t="shared" si="735"/>
        <v>0</v>
      </c>
      <c r="P585" s="379">
        <f t="shared" si="736"/>
        <v>0</v>
      </c>
      <c r="Q585" s="379" t="str">
        <f t="shared" si="737"/>
        <v>Y</v>
      </c>
      <c r="R585" s="379" t="str">
        <f t="shared" si="738"/>
        <v>Tumut</v>
      </c>
      <c r="S585" s="379" t="str">
        <f t="shared" si="739"/>
        <v>Adelong</v>
      </c>
      <c r="T585" s="379" t="str">
        <f t="shared" si="740"/>
        <v>Talbingo</v>
      </c>
      <c r="U585" s="379">
        <f t="shared" si="741"/>
        <v>0</v>
      </c>
      <c r="V585" s="379">
        <f t="shared" si="742"/>
        <v>0</v>
      </c>
      <c r="W585" s="379">
        <f t="shared" si="743"/>
        <v>0</v>
      </c>
      <c r="X585" s="379">
        <f t="shared" si="744"/>
        <v>0</v>
      </c>
      <c r="Y585" s="379">
        <f t="shared" si="745"/>
        <v>0</v>
      </c>
      <c r="Z585" s="379">
        <f t="shared" si="746"/>
        <v>0</v>
      </c>
      <c r="AA585" s="379">
        <f t="shared" si="747"/>
        <v>0</v>
      </c>
      <c r="AB585" s="379">
        <f t="shared" si="748"/>
        <v>0</v>
      </c>
      <c r="AC585" s="379">
        <f t="shared" si="749"/>
        <v>0</v>
      </c>
      <c r="AD585" s="379">
        <f t="shared" si="750"/>
        <v>0</v>
      </c>
      <c r="AE585" s="379">
        <f t="shared" si="751"/>
        <v>0</v>
      </c>
      <c r="AF585" s="379">
        <f t="shared" si="752"/>
        <v>0</v>
      </c>
      <c r="AG585" s="379">
        <f t="shared" si="753"/>
        <v>0</v>
      </c>
      <c r="AH585" s="379">
        <f t="shared" si="754"/>
        <v>0</v>
      </c>
      <c r="AI585" s="379">
        <f t="shared" si="755"/>
        <v>0</v>
      </c>
      <c r="AJ585" s="379">
        <f t="shared" si="756"/>
        <v>0</v>
      </c>
      <c r="AK585" s="379">
        <f t="shared" si="757"/>
        <v>0</v>
      </c>
      <c r="AL585" s="379">
        <f t="shared" si="758"/>
        <v>0</v>
      </c>
      <c r="AM585" s="379">
        <f t="shared" si="759"/>
        <v>0</v>
      </c>
      <c r="AN585" s="490">
        <f t="shared" si="760"/>
        <v>0</v>
      </c>
      <c r="AO585" s="379">
        <f t="shared" si="761"/>
        <v>0</v>
      </c>
      <c r="AP585" s="379">
        <f t="shared" si="762"/>
        <v>0</v>
      </c>
      <c r="AQ585" s="379">
        <f t="shared" si="763"/>
        <v>0</v>
      </c>
      <c r="AR585" s="379">
        <f t="shared" si="764"/>
        <v>0</v>
      </c>
      <c r="AS585" s="379">
        <f t="shared" si="765"/>
        <v>0</v>
      </c>
      <c r="AT585" s="379">
        <f t="shared" si="766"/>
        <v>0</v>
      </c>
      <c r="AU585" s="379">
        <f t="shared" si="767"/>
        <v>0</v>
      </c>
      <c r="AV585" s="379">
        <f t="shared" si="768"/>
        <v>0</v>
      </c>
      <c r="AW585" s="379">
        <f t="shared" si="769"/>
        <v>0</v>
      </c>
      <c r="AX585" s="379">
        <f t="shared" si="770"/>
        <v>0</v>
      </c>
      <c r="AY585" s="379">
        <f t="shared" si="771"/>
        <v>0</v>
      </c>
    </row>
    <row r="586" spans="1:51" x14ac:dyDescent="0.2">
      <c r="A586" s="376">
        <v>17350</v>
      </c>
      <c r="B586" s="378" t="str">
        <f t="shared" si="724"/>
        <v>Temora (A)</v>
      </c>
      <c r="C586" s="377" t="str">
        <f t="shared" si="725"/>
        <v>REROC</v>
      </c>
      <c r="D586" s="503" t="str">
        <f t="shared" si="726"/>
        <v>N</v>
      </c>
      <c r="E586" s="503"/>
      <c r="F586"/>
      <c r="G586" s="379">
        <f t="shared" si="727"/>
        <v>6088</v>
      </c>
      <c r="H586" s="379">
        <f t="shared" si="728"/>
        <v>3689</v>
      </c>
      <c r="I586" s="379">
        <f t="shared" si="729"/>
        <v>212</v>
      </c>
      <c r="J586" s="379" t="str">
        <f t="shared" si="730"/>
        <v>Y</v>
      </c>
      <c r="K586" s="379">
        <f t="shared" si="731"/>
        <v>2198</v>
      </c>
      <c r="L586" s="379">
        <f t="shared" si="732"/>
        <v>0</v>
      </c>
      <c r="M586" s="379">
        <f t="shared" si="733"/>
        <v>0</v>
      </c>
      <c r="N586" s="379">
        <f t="shared" si="734"/>
        <v>0</v>
      </c>
      <c r="O586" s="379">
        <f t="shared" si="735"/>
        <v>0</v>
      </c>
      <c r="P586" s="379" t="str">
        <f t="shared" si="736"/>
        <v>Y</v>
      </c>
      <c r="Q586" s="379" t="str">
        <f t="shared" si="737"/>
        <v>Y</v>
      </c>
      <c r="R586" s="379" t="str">
        <f t="shared" si="738"/>
        <v>Teal St Landfill</v>
      </c>
      <c r="S586" s="379" t="str">
        <f t="shared" si="739"/>
        <v>Lions Club</v>
      </c>
      <c r="T586" s="379">
        <f t="shared" si="740"/>
        <v>0</v>
      </c>
      <c r="U586" s="379">
        <f t="shared" si="741"/>
        <v>0</v>
      </c>
      <c r="V586" s="379">
        <f t="shared" si="742"/>
        <v>0</v>
      </c>
      <c r="W586" s="379">
        <f t="shared" si="743"/>
        <v>0</v>
      </c>
      <c r="X586" s="379">
        <f t="shared" si="744"/>
        <v>0</v>
      </c>
      <c r="Y586" s="379">
        <f t="shared" si="745"/>
        <v>0</v>
      </c>
      <c r="Z586" s="379">
        <f t="shared" si="746"/>
        <v>0</v>
      </c>
      <c r="AA586" s="379">
        <f t="shared" si="747"/>
        <v>0</v>
      </c>
      <c r="AB586" s="379">
        <f t="shared" si="748"/>
        <v>0</v>
      </c>
      <c r="AC586" s="379">
        <f t="shared" si="749"/>
        <v>0</v>
      </c>
      <c r="AD586" s="379">
        <f t="shared" si="750"/>
        <v>0</v>
      </c>
      <c r="AE586" s="379">
        <f t="shared" si="751"/>
        <v>0</v>
      </c>
      <c r="AF586" s="379">
        <f t="shared" si="752"/>
        <v>0</v>
      </c>
      <c r="AG586" s="379">
        <f t="shared" si="753"/>
        <v>0</v>
      </c>
      <c r="AH586" s="379">
        <f t="shared" si="754"/>
        <v>0</v>
      </c>
      <c r="AI586" s="379">
        <f t="shared" si="755"/>
        <v>0</v>
      </c>
      <c r="AJ586" s="379">
        <f t="shared" si="756"/>
        <v>0</v>
      </c>
      <c r="AK586" s="379">
        <f t="shared" si="757"/>
        <v>0</v>
      </c>
      <c r="AL586" s="379">
        <f t="shared" si="758"/>
        <v>0</v>
      </c>
      <c r="AM586" s="379">
        <f t="shared" si="759"/>
        <v>0</v>
      </c>
      <c r="AN586" s="490">
        <f t="shared" si="760"/>
        <v>0</v>
      </c>
      <c r="AO586" s="379">
        <f t="shared" si="761"/>
        <v>0</v>
      </c>
      <c r="AP586" s="379">
        <f t="shared" si="762"/>
        <v>0</v>
      </c>
      <c r="AQ586" s="379">
        <f t="shared" si="763"/>
        <v>0</v>
      </c>
      <c r="AR586" s="379">
        <f t="shared" si="764"/>
        <v>0</v>
      </c>
      <c r="AS586" s="379">
        <f t="shared" si="765"/>
        <v>0</v>
      </c>
      <c r="AT586" s="379">
        <f t="shared" si="766"/>
        <v>0</v>
      </c>
      <c r="AU586" s="379">
        <f t="shared" si="767"/>
        <v>0</v>
      </c>
      <c r="AV586" s="379">
        <f t="shared" si="768"/>
        <v>0</v>
      </c>
      <c r="AW586" s="379">
        <f t="shared" si="769"/>
        <v>0</v>
      </c>
      <c r="AX586" s="379">
        <f t="shared" si="770"/>
        <v>0</v>
      </c>
      <c r="AY586" s="379">
        <f t="shared" si="771"/>
        <v>0</v>
      </c>
    </row>
    <row r="587" spans="1:51" ht="13.5" thickBot="1" x14ac:dyDescent="0.25">
      <c r="A587" s="376">
        <v>17750</v>
      </c>
      <c r="B587" s="378" t="str">
        <f t="shared" si="724"/>
        <v>Wagga Wagga (C)</v>
      </c>
      <c r="C587" s="377" t="str">
        <f t="shared" si="725"/>
        <v>REROC</v>
      </c>
      <c r="D587" s="503" t="str">
        <f t="shared" si="726"/>
        <v>N</v>
      </c>
      <c r="E587" s="503"/>
      <c r="F587"/>
      <c r="G587" s="379">
        <f t="shared" si="727"/>
        <v>64272</v>
      </c>
      <c r="H587" s="379">
        <f t="shared" si="728"/>
        <v>24260</v>
      </c>
      <c r="I587" s="379">
        <f t="shared" si="729"/>
        <v>303</v>
      </c>
      <c r="J587" s="379" t="str">
        <f t="shared" si="730"/>
        <v>Y</v>
      </c>
      <c r="K587" s="379">
        <f t="shared" si="731"/>
        <v>24260</v>
      </c>
      <c r="L587" s="379">
        <f t="shared" si="732"/>
        <v>0</v>
      </c>
      <c r="M587" s="379">
        <f t="shared" si="733"/>
        <v>24283</v>
      </c>
      <c r="N587" s="379">
        <f t="shared" si="734"/>
        <v>23503</v>
      </c>
      <c r="O587" s="379">
        <f t="shared" si="735"/>
        <v>0</v>
      </c>
      <c r="P587" s="379">
        <f t="shared" si="736"/>
        <v>0</v>
      </c>
      <c r="Q587" s="379" t="str">
        <f t="shared" si="737"/>
        <v>Y</v>
      </c>
      <c r="R587" s="379" t="str">
        <f t="shared" si="738"/>
        <v>Gregadoo Waste Management Centre</v>
      </c>
      <c r="S587" s="379" t="str">
        <f t="shared" si="739"/>
        <v xml:space="preserve">Transfer stations </v>
      </c>
      <c r="T587" s="379">
        <f t="shared" si="740"/>
        <v>0</v>
      </c>
      <c r="U587" s="379">
        <f t="shared" si="741"/>
        <v>0</v>
      </c>
      <c r="V587" s="379">
        <f t="shared" si="742"/>
        <v>0</v>
      </c>
      <c r="W587" s="379">
        <f t="shared" si="743"/>
        <v>0</v>
      </c>
      <c r="X587" s="379">
        <f t="shared" si="744"/>
        <v>0</v>
      </c>
      <c r="Y587" s="379">
        <f t="shared" si="745"/>
        <v>0</v>
      </c>
      <c r="Z587" s="379">
        <f t="shared" si="746"/>
        <v>0</v>
      </c>
      <c r="AA587" s="379">
        <f t="shared" si="747"/>
        <v>0</v>
      </c>
      <c r="AB587" s="379">
        <f t="shared" si="748"/>
        <v>0</v>
      </c>
      <c r="AC587" s="379">
        <f t="shared" si="749"/>
        <v>0</v>
      </c>
      <c r="AD587" s="379">
        <f t="shared" si="750"/>
        <v>0</v>
      </c>
      <c r="AE587" s="379">
        <f t="shared" si="751"/>
        <v>0</v>
      </c>
      <c r="AF587" s="379">
        <f t="shared" si="752"/>
        <v>0</v>
      </c>
      <c r="AG587" s="379">
        <f t="shared" si="753"/>
        <v>0</v>
      </c>
      <c r="AH587" s="379">
        <f t="shared" si="754"/>
        <v>0</v>
      </c>
      <c r="AI587" s="379">
        <f t="shared" si="755"/>
        <v>0</v>
      </c>
      <c r="AJ587" s="379">
        <f t="shared" si="756"/>
        <v>0</v>
      </c>
      <c r="AK587" s="379">
        <f t="shared" si="757"/>
        <v>0</v>
      </c>
      <c r="AL587" s="379">
        <f t="shared" si="758"/>
        <v>0</v>
      </c>
      <c r="AM587" s="379">
        <f t="shared" si="759"/>
        <v>0</v>
      </c>
      <c r="AN587" s="490">
        <f t="shared" si="760"/>
        <v>0</v>
      </c>
      <c r="AO587" s="379">
        <f t="shared" si="761"/>
        <v>0</v>
      </c>
      <c r="AP587" s="379">
        <f t="shared" si="762"/>
        <v>0</v>
      </c>
      <c r="AQ587" s="379">
        <f t="shared" si="763"/>
        <v>0</v>
      </c>
      <c r="AR587" s="379">
        <f t="shared" si="764"/>
        <v>0</v>
      </c>
      <c r="AS587" s="379">
        <f t="shared" si="765"/>
        <v>0</v>
      </c>
      <c r="AT587" s="379">
        <f t="shared" si="766"/>
        <v>0</v>
      </c>
      <c r="AU587" s="379">
        <f t="shared" si="767"/>
        <v>0</v>
      </c>
      <c r="AV587" s="379">
        <f t="shared" si="768"/>
        <v>0</v>
      </c>
      <c r="AW587" s="379">
        <f t="shared" si="769"/>
        <v>0</v>
      </c>
      <c r="AX587" s="379">
        <f t="shared" si="770"/>
        <v>0</v>
      </c>
      <c r="AY587" s="379">
        <f t="shared" si="771"/>
        <v>0</v>
      </c>
    </row>
    <row r="588" spans="1:51" ht="13.5" thickTop="1" x14ac:dyDescent="0.2">
      <c r="A588" s="380"/>
      <c r="B588" s="380"/>
      <c r="C588" s="380" t="s">
        <v>264</v>
      </c>
      <c r="D588" s="380"/>
      <c r="E588" s="484"/>
      <c r="F588" s="381"/>
      <c r="G588" s="382">
        <f t="shared" ref="G588:AY588" si="772">COUNTIF(G579:G587,"&gt;0")</f>
        <v>9</v>
      </c>
      <c r="H588" s="382">
        <f t="shared" si="772"/>
        <v>9</v>
      </c>
      <c r="I588" s="382">
        <f t="shared" si="772"/>
        <v>9</v>
      </c>
      <c r="J588" s="382">
        <f t="shared" si="772"/>
        <v>0</v>
      </c>
      <c r="K588" s="382">
        <f t="shared" si="772"/>
        <v>9</v>
      </c>
      <c r="L588" s="382">
        <f t="shared" si="772"/>
        <v>0</v>
      </c>
      <c r="M588" s="382">
        <f t="shared" si="772"/>
        <v>7</v>
      </c>
      <c r="N588" s="382">
        <f t="shared" si="772"/>
        <v>2</v>
      </c>
      <c r="O588" s="382">
        <f t="shared" si="772"/>
        <v>3</v>
      </c>
      <c r="P588" s="382">
        <f t="shared" si="772"/>
        <v>0</v>
      </c>
      <c r="Q588" s="382">
        <f t="shared" si="772"/>
        <v>0</v>
      </c>
      <c r="R588" s="382">
        <f t="shared" si="772"/>
        <v>0</v>
      </c>
      <c r="S588" s="382">
        <f t="shared" si="772"/>
        <v>0</v>
      </c>
      <c r="T588" s="382">
        <f t="shared" si="772"/>
        <v>0</v>
      </c>
      <c r="U588" s="382">
        <f t="shared" si="772"/>
        <v>0</v>
      </c>
      <c r="V588" s="382">
        <f t="shared" si="772"/>
        <v>0</v>
      </c>
      <c r="W588" s="382">
        <f t="shared" si="772"/>
        <v>0</v>
      </c>
      <c r="X588" s="382">
        <f t="shared" si="772"/>
        <v>0</v>
      </c>
      <c r="Y588" s="382">
        <f t="shared" si="772"/>
        <v>0</v>
      </c>
      <c r="Z588" s="382">
        <f t="shared" si="772"/>
        <v>0</v>
      </c>
      <c r="AA588" s="382">
        <f t="shared" si="772"/>
        <v>0</v>
      </c>
      <c r="AB588" s="382">
        <f t="shared" si="772"/>
        <v>0</v>
      </c>
      <c r="AC588" s="382">
        <f t="shared" si="772"/>
        <v>0</v>
      </c>
      <c r="AD588" s="382">
        <f t="shared" si="772"/>
        <v>0</v>
      </c>
      <c r="AE588" s="382">
        <f t="shared" si="772"/>
        <v>0</v>
      </c>
      <c r="AF588" s="382">
        <f t="shared" si="772"/>
        <v>0</v>
      </c>
      <c r="AG588" s="382">
        <f t="shared" si="772"/>
        <v>0</v>
      </c>
      <c r="AH588" s="382">
        <f t="shared" si="772"/>
        <v>0</v>
      </c>
      <c r="AI588" s="382">
        <f t="shared" si="772"/>
        <v>0</v>
      </c>
      <c r="AJ588" s="382">
        <f t="shared" si="772"/>
        <v>0</v>
      </c>
      <c r="AK588" s="382">
        <f t="shared" si="772"/>
        <v>0</v>
      </c>
      <c r="AL588" s="382">
        <f t="shared" si="772"/>
        <v>0</v>
      </c>
      <c r="AM588" s="382">
        <f t="shared" si="772"/>
        <v>0</v>
      </c>
      <c r="AN588" s="485">
        <f t="shared" si="772"/>
        <v>0</v>
      </c>
      <c r="AO588" s="382">
        <f t="shared" si="772"/>
        <v>0</v>
      </c>
      <c r="AP588" s="382">
        <f t="shared" si="772"/>
        <v>0</v>
      </c>
      <c r="AQ588" s="382">
        <f t="shared" si="772"/>
        <v>0</v>
      </c>
      <c r="AR588" s="382">
        <f t="shared" si="772"/>
        <v>0</v>
      </c>
      <c r="AS588" s="382">
        <f t="shared" si="772"/>
        <v>0</v>
      </c>
      <c r="AT588" s="382">
        <f t="shared" si="772"/>
        <v>0</v>
      </c>
      <c r="AU588" s="382">
        <f t="shared" si="772"/>
        <v>0</v>
      </c>
      <c r="AV588" s="382">
        <f t="shared" si="772"/>
        <v>0</v>
      </c>
      <c r="AW588" s="382">
        <f t="shared" si="772"/>
        <v>0</v>
      </c>
      <c r="AX588" s="382">
        <f t="shared" si="772"/>
        <v>0</v>
      </c>
      <c r="AY588" s="382">
        <f t="shared" si="772"/>
        <v>0</v>
      </c>
    </row>
    <row r="589" spans="1:51" x14ac:dyDescent="0.2">
      <c r="A589" s="376"/>
      <c r="B589" s="376"/>
      <c r="C589" s="376" t="s">
        <v>265</v>
      </c>
      <c r="D589" s="376"/>
      <c r="E589" s="488"/>
      <c r="F589" s="384"/>
      <c r="G589" s="385">
        <f t="shared" ref="G589:AY589" si="773">SUM(G579:G587)</f>
        <v>126939</v>
      </c>
      <c r="H589" s="385">
        <f t="shared" si="773"/>
        <v>52201</v>
      </c>
      <c r="I589" s="385">
        <f t="shared" si="773"/>
        <v>2789.5</v>
      </c>
      <c r="J589" s="385">
        <f t="shared" si="773"/>
        <v>0</v>
      </c>
      <c r="K589" s="385">
        <f t="shared" si="773"/>
        <v>46746</v>
      </c>
      <c r="L589" s="385">
        <f t="shared" si="773"/>
        <v>0</v>
      </c>
      <c r="M589" s="385">
        <f t="shared" si="773"/>
        <v>42358</v>
      </c>
      <c r="N589" s="385">
        <f t="shared" si="773"/>
        <v>26998</v>
      </c>
      <c r="O589" s="385">
        <f t="shared" si="773"/>
        <v>3782</v>
      </c>
      <c r="P589" s="385">
        <f t="shared" si="773"/>
        <v>0</v>
      </c>
      <c r="Q589" s="385">
        <f t="shared" si="773"/>
        <v>0</v>
      </c>
      <c r="R589" s="385">
        <f t="shared" si="773"/>
        <v>0</v>
      </c>
      <c r="S589" s="385">
        <f t="shared" si="773"/>
        <v>0</v>
      </c>
      <c r="T589" s="385">
        <f t="shared" si="773"/>
        <v>0</v>
      </c>
      <c r="U589" s="385">
        <f t="shared" si="773"/>
        <v>0</v>
      </c>
      <c r="V589" s="385">
        <f t="shared" si="773"/>
        <v>0</v>
      </c>
      <c r="W589" s="385">
        <f t="shared" si="773"/>
        <v>0</v>
      </c>
      <c r="X589" s="385">
        <f t="shared" si="773"/>
        <v>0</v>
      </c>
      <c r="Y589" s="385">
        <f t="shared" si="773"/>
        <v>0</v>
      </c>
      <c r="Z589" s="385">
        <f t="shared" si="773"/>
        <v>0</v>
      </c>
      <c r="AA589" s="385">
        <f t="shared" si="773"/>
        <v>0</v>
      </c>
      <c r="AB589" s="385">
        <f t="shared" si="773"/>
        <v>0</v>
      </c>
      <c r="AC589" s="385">
        <f t="shared" si="773"/>
        <v>0</v>
      </c>
      <c r="AD589" s="385">
        <f t="shared" si="773"/>
        <v>0</v>
      </c>
      <c r="AE589" s="385">
        <f t="shared" si="773"/>
        <v>0</v>
      </c>
      <c r="AF589" s="385">
        <f t="shared" si="773"/>
        <v>0</v>
      </c>
      <c r="AG589" s="385">
        <f t="shared" si="773"/>
        <v>0</v>
      </c>
      <c r="AH589" s="385">
        <f t="shared" si="773"/>
        <v>0</v>
      </c>
      <c r="AI589" s="385">
        <f t="shared" si="773"/>
        <v>0</v>
      </c>
      <c r="AJ589" s="385">
        <f t="shared" si="773"/>
        <v>0</v>
      </c>
      <c r="AK589" s="385">
        <f t="shared" si="773"/>
        <v>0</v>
      </c>
      <c r="AL589" s="385">
        <f t="shared" si="773"/>
        <v>0</v>
      </c>
      <c r="AM589" s="385">
        <f t="shared" si="773"/>
        <v>0</v>
      </c>
      <c r="AN589" s="489">
        <f t="shared" si="773"/>
        <v>0</v>
      </c>
      <c r="AO589" s="385">
        <f t="shared" si="773"/>
        <v>0</v>
      </c>
      <c r="AP589" s="385">
        <f t="shared" si="773"/>
        <v>0</v>
      </c>
      <c r="AQ589" s="385">
        <f t="shared" si="773"/>
        <v>0</v>
      </c>
      <c r="AR589" s="385">
        <f t="shared" si="773"/>
        <v>0</v>
      </c>
      <c r="AS589" s="385">
        <f t="shared" si="773"/>
        <v>0</v>
      </c>
      <c r="AT589" s="385">
        <f t="shared" si="773"/>
        <v>0</v>
      </c>
      <c r="AU589" s="385">
        <f t="shared" si="773"/>
        <v>0</v>
      </c>
      <c r="AV589" s="385">
        <f t="shared" si="773"/>
        <v>0</v>
      </c>
      <c r="AW589" s="385">
        <f t="shared" si="773"/>
        <v>0</v>
      </c>
      <c r="AX589" s="385">
        <f t="shared" si="773"/>
        <v>0</v>
      </c>
      <c r="AY589" s="385">
        <f t="shared" si="773"/>
        <v>0</v>
      </c>
    </row>
    <row r="590" spans="1:51" x14ac:dyDescent="0.2">
      <c r="A590" s="376"/>
      <c r="B590" s="376"/>
      <c r="C590" s="376" t="s">
        <v>266</v>
      </c>
      <c r="D590" s="376"/>
      <c r="E590" s="488"/>
      <c r="F590" s="384"/>
      <c r="G590" s="379">
        <f t="shared" ref="G590:AY590" si="774">MIN(G579:G587)</f>
        <v>3103</v>
      </c>
      <c r="H590" s="379">
        <f t="shared" si="774"/>
        <v>1914</v>
      </c>
      <c r="I590" s="379">
        <f t="shared" si="774"/>
        <v>212</v>
      </c>
      <c r="J590" s="379">
        <f t="shared" si="774"/>
        <v>0</v>
      </c>
      <c r="K590" s="379">
        <f t="shared" si="774"/>
        <v>984</v>
      </c>
      <c r="L590" s="379">
        <f t="shared" si="774"/>
        <v>0</v>
      </c>
      <c r="M590" s="379">
        <f t="shared" si="774"/>
        <v>0</v>
      </c>
      <c r="N590" s="379">
        <f t="shared" si="774"/>
        <v>0</v>
      </c>
      <c r="O590" s="379">
        <f t="shared" si="774"/>
        <v>0</v>
      </c>
      <c r="P590" s="379">
        <f t="shared" si="774"/>
        <v>0</v>
      </c>
      <c r="Q590" s="379">
        <f t="shared" si="774"/>
        <v>0</v>
      </c>
      <c r="R590" s="379">
        <f t="shared" si="774"/>
        <v>0</v>
      </c>
      <c r="S590" s="379">
        <f t="shared" si="774"/>
        <v>0</v>
      </c>
      <c r="T590" s="379">
        <f t="shared" si="774"/>
        <v>0</v>
      </c>
      <c r="U590" s="379">
        <f t="shared" si="774"/>
        <v>0</v>
      </c>
      <c r="V590" s="379">
        <f t="shared" si="774"/>
        <v>0</v>
      </c>
      <c r="W590" s="379">
        <f t="shared" si="774"/>
        <v>0</v>
      </c>
      <c r="X590" s="379">
        <f t="shared" si="774"/>
        <v>0</v>
      </c>
      <c r="Y590" s="379">
        <f t="shared" si="774"/>
        <v>0</v>
      </c>
      <c r="Z590" s="379">
        <f t="shared" si="774"/>
        <v>0</v>
      </c>
      <c r="AA590" s="379">
        <f t="shared" si="774"/>
        <v>0</v>
      </c>
      <c r="AB590" s="379">
        <f t="shared" si="774"/>
        <v>0</v>
      </c>
      <c r="AC590" s="379">
        <f t="shared" si="774"/>
        <v>0</v>
      </c>
      <c r="AD590" s="379">
        <f t="shared" si="774"/>
        <v>0</v>
      </c>
      <c r="AE590" s="379">
        <f t="shared" si="774"/>
        <v>0</v>
      </c>
      <c r="AF590" s="379">
        <f t="shared" si="774"/>
        <v>0</v>
      </c>
      <c r="AG590" s="379">
        <f t="shared" si="774"/>
        <v>0</v>
      </c>
      <c r="AH590" s="379">
        <f t="shared" si="774"/>
        <v>0</v>
      </c>
      <c r="AI590" s="379">
        <f t="shared" si="774"/>
        <v>0</v>
      </c>
      <c r="AJ590" s="379">
        <f t="shared" si="774"/>
        <v>0</v>
      </c>
      <c r="AK590" s="379">
        <f t="shared" si="774"/>
        <v>0</v>
      </c>
      <c r="AL590" s="379">
        <f t="shared" si="774"/>
        <v>0</v>
      </c>
      <c r="AM590" s="379">
        <f t="shared" si="774"/>
        <v>0</v>
      </c>
      <c r="AN590" s="490">
        <f t="shared" si="774"/>
        <v>0</v>
      </c>
      <c r="AO590" s="379">
        <f t="shared" si="774"/>
        <v>0</v>
      </c>
      <c r="AP590" s="379">
        <f t="shared" si="774"/>
        <v>0</v>
      </c>
      <c r="AQ590" s="379">
        <f t="shared" si="774"/>
        <v>0</v>
      </c>
      <c r="AR590" s="379">
        <f t="shared" si="774"/>
        <v>0</v>
      </c>
      <c r="AS590" s="379">
        <f t="shared" si="774"/>
        <v>0</v>
      </c>
      <c r="AT590" s="379">
        <f t="shared" si="774"/>
        <v>0</v>
      </c>
      <c r="AU590" s="379">
        <f t="shared" si="774"/>
        <v>0</v>
      </c>
      <c r="AV590" s="379">
        <f t="shared" si="774"/>
        <v>0</v>
      </c>
      <c r="AW590" s="379">
        <f t="shared" si="774"/>
        <v>0</v>
      </c>
      <c r="AX590" s="379">
        <f t="shared" si="774"/>
        <v>0</v>
      </c>
      <c r="AY590" s="379">
        <f t="shared" si="774"/>
        <v>0</v>
      </c>
    </row>
    <row r="591" spans="1:51" x14ac:dyDescent="0.2">
      <c r="A591" s="376"/>
      <c r="B591" s="376"/>
      <c r="C591" s="376" t="s">
        <v>267</v>
      </c>
      <c r="D591" s="376"/>
      <c r="E591" s="488"/>
      <c r="F591" s="384"/>
      <c r="G591" s="379">
        <f t="shared" ref="G591:AY591" si="775">MAX(G579:G587)</f>
        <v>64272</v>
      </c>
      <c r="H591" s="379">
        <f t="shared" si="775"/>
        <v>24260</v>
      </c>
      <c r="I591" s="379">
        <f t="shared" si="775"/>
        <v>399</v>
      </c>
      <c r="J591" s="379">
        <f t="shared" si="775"/>
        <v>0</v>
      </c>
      <c r="K591" s="379">
        <f t="shared" si="775"/>
        <v>24260</v>
      </c>
      <c r="L591" s="379">
        <f t="shared" si="775"/>
        <v>0</v>
      </c>
      <c r="M591" s="379">
        <f t="shared" si="775"/>
        <v>24283</v>
      </c>
      <c r="N591" s="379">
        <f t="shared" si="775"/>
        <v>23503</v>
      </c>
      <c r="O591" s="379">
        <f t="shared" si="775"/>
        <v>1740</v>
      </c>
      <c r="P591" s="379">
        <f t="shared" si="775"/>
        <v>0</v>
      </c>
      <c r="Q591" s="379">
        <f t="shared" si="775"/>
        <v>0</v>
      </c>
      <c r="R591" s="379">
        <f t="shared" si="775"/>
        <v>0</v>
      </c>
      <c r="S591" s="379">
        <f t="shared" si="775"/>
        <v>0</v>
      </c>
      <c r="T591" s="379">
        <f t="shared" si="775"/>
        <v>0</v>
      </c>
      <c r="U591" s="379">
        <f t="shared" si="775"/>
        <v>0</v>
      </c>
      <c r="V591" s="379">
        <f t="shared" si="775"/>
        <v>0</v>
      </c>
      <c r="W591" s="379">
        <f t="shared" si="775"/>
        <v>0</v>
      </c>
      <c r="X591" s="379">
        <f t="shared" si="775"/>
        <v>0</v>
      </c>
      <c r="Y591" s="379">
        <f t="shared" si="775"/>
        <v>0</v>
      </c>
      <c r="Z591" s="379">
        <f t="shared" si="775"/>
        <v>0</v>
      </c>
      <c r="AA591" s="379">
        <f t="shared" si="775"/>
        <v>0</v>
      </c>
      <c r="AB591" s="379">
        <f t="shared" si="775"/>
        <v>0</v>
      </c>
      <c r="AC591" s="379">
        <f t="shared" si="775"/>
        <v>0</v>
      </c>
      <c r="AD591" s="379">
        <f t="shared" si="775"/>
        <v>0</v>
      </c>
      <c r="AE591" s="379">
        <f t="shared" si="775"/>
        <v>0</v>
      </c>
      <c r="AF591" s="379">
        <f t="shared" si="775"/>
        <v>0</v>
      </c>
      <c r="AG591" s="379">
        <f t="shared" si="775"/>
        <v>0</v>
      </c>
      <c r="AH591" s="379">
        <f t="shared" si="775"/>
        <v>0</v>
      </c>
      <c r="AI591" s="379">
        <f t="shared" si="775"/>
        <v>0</v>
      </c>
      <c r="AJ591" s="379">
        <f t="shared" si="775"/>
        <v>0</v>
      </c>
      <c r="AK591" s="379">
        <f t="shared" si="775"/>
        <v>0</v>
      </c>
      <c r="AL591" s="379">
        <f t="shared" si="775"/>
        <v>0</v>
      </c>
      <c r="AM591" s="379">
        <f t="shared" si="775"/>
        <v>0</v>
      </c>
      <c r="AN591" s="490">
        <f t="shared" si="775"/>
        <v>0</v>
      </c>
      <c r="AO591" s="379">
        <f t="shared" si="775"/>
        <v>0</v>
      </c>
      <c r="AP591" s="379">
        <f t="shared" si="775"/>
        <v>0</v>
      </c>
      <c r="AQ591" s="379">
        <f t="shared" si="775"/>
        <v>0</v>
      </c>
      <c r="AR591" s="379">
        <f t="shared" si="775"/>
        <v>0</v>
      </c>
      <c r="AS591" s="379">
        <f t="shared" si="775"/>
        <v>0</v>
      </c>
      <c r="AT591" s="379">
        <f t="shared" si="775"/>
        <v>0</v>
      </c>
      <c r="AU591" s="379">
        <f t="shared" si="775"/>
        <v>0</v>
      </c>
      <c r="AV591" s="379">
        <f t="shared" si="775"/>
        <v>0</v>
      </c>
      <c r="AW591" s="379">
        <f t="shared" si="775"/>
        <v>0</v>
      </c>
      <c r="AX591" s="379">
        <f t="shared" si="775"/>
        <v>0</v>
      </c>
      <c r="AY591" s="379">
        <f t="shared" si="775"/>
        <v>0</v>
      </c>
    </row>
    <row r="592" spans="1:51" x14ac:dyDescent="0.2">
      <c r="A592" s="376"/>
      <c r="B592" s="376"/>
      <c r="C592" s="376" t="s">
        <v>268</v>
      </c>
      <c r="D592" s="376"/>
      <c r="E592" s="488"/>
      <c r="F592" s="384"/>
      <c r="G592" s="379">
        <f t="shared" ref="G592:AY592" si="776">AVERAGE(G579:G587)</f>
        <v>14104.333333333334</v>
      </c>
      <c r="H592" s="379">
        <f t="shared" si="776"/>
        <v>5800.1111111111113</v>
      </c>
      <c r="I592" s="379">
        <f t="shared" si="776"/>
        <v>309.94444444444446</v>
      </c>
      <c r="J592" s="379" t="e">
        <f t="shared" si="776"/>
        <v>#DIV/0!</v>
      </c>
      <c r="K592" s="379">
        <f t="shared" si="776"/>
        <v>5194</v>
      </c>
      <c r="L592" s="379">
        <f t="shared" si="776"/>
        <v>0</v>
      </c>
      <c r="M592" s="379">
        <f t="shared" si="776"/>
        <v>4706.4444444444443</v>
      </c>
      <c r="N592" s="379">
        <f t="shared" si="776"/>
        <v>2999.7777777777778</v>
      </c>
      <c r="O592" s="379">
        <f t="shared" si="776"/>
        <v>420.22222222222223</v>
      </c>
      <c r="P592" s="379">
        <f t="shared" si="776"/>
        <v>0</v>
      </c>
      <c r="Q592" s="379">
        <f t="shared" si="776"/>
        <v>0</v>
      </c>
      <c r="R592" s="379">
        <f t="shared" si="776"/>
        <v>0</v>
      </c>
      <c r="S592" s="379">
        <f t="shared" si="776"/>
        <v>0</v>
      </c>
      <c r="T592" s="379">
        <f t="shared" si="776"/>
        <v>0</v>
      </c>
      <c r="U592" s="379">
        <f t="shared" si="776"/>
        <v>0</v>
      </c>
      <c r="V592" s="379">
        <f t="shared" si="776"/>
        <v>0</v>
      </c>
      <c r="W592" s="379">
        <f t="shared" si="776"/>
        <v>0</v>
      </c>
      <c r="X592" s="379">
        <f t="shared" si="776"/>
        <v>0</v>
      </c>
      <c r="Y592" s="379">
        <f t="shared" si="776"/>
        <v>0</v>
      </c>
      <c r="Z592" s="379">
        <f t="shared" si="776"/>
        <v>0</v>
      </c>
      <c r="AA592" s="379">
        <f t="shared" si="776"/>
        <v>0</v>
      </c>
      <c r="AB592" s="379">
        <f t="shared" si="776"/>
        <v>0</v>
      </c>
      <c r="AC592" s="379">
        <f t="shared" si="776"/>
        <v>0</v>
      </c>
      <c r="AD592" s="379">
        <f t="shared" si="776"/>
        <v>0</v>
      </c>
      <c r="AE592" s="379">
        <f t="shared" si="776"/>
        <v>0</v>
      </c>
      <c r="AF592" s="379">
        <f t="shared" si="776"/>
        <v>0</v>
      </c>
      <c r="AG592" s="379">
        <f t="shared" si="776"/>
        <v>0</v>
      </c>
      <c r="AH592" s="379">
        <f t="shared" si="776"/>
        <v>0</v>
      </c>
      <c r="AI592" s="379">
        <f t="shared" si="776"/>
        <v>0</v>
      </c>
      <c r="AJ592" s="379">
        <f t="shared" si="776"/>
        <v>0</v>
      </c>
      <c r="AK592" s="379">
        <f t="shared" si="776"/>
        <v>0</v>
      </c>
      <c r="AL592" s="379">
        <f t="shared" si="776"/>
        <v>0</v>
      </c>
      <c r="AM592" s="379">
        <f t="shared" si="776"/>
        <v>0</v>
      </c>
      <c r="AN592" s="490">
        <f t="shared" si="776"/>
        <v>0</v>
      </c>
      <c r="AO592" s="379">
        <f t="shared" si="776"/>
        <v>0</v>
      </c>
      <c r="AP592" s="379">
        <f t="shared" si="776"/>
        <v>0</v>
      </c>
      <c r="AQ592" s="379">
        <f t="shared" si="776"/>
        <v>0</v>
      </c>
      <c r="AR592" s="379">
        <f t="shared" si="776"/>
        <v>0</v>
      </c>
      <c r="AS592" s="379">
        <f t="shared" si="776"/>
        <v>0</v>
      </c>
      <c r="AT592" s="379">
        <f t="shared" si="776"/>
        <v>0</v>
      </c>
      <c r="AU592" s="379">
        <f t="shared" si="776"/>
        <v>0</v>
      </c>
      <c r="AV592" s="379">
        <f t="shared" si="776"/>
        <v>0</v>
      </c>
      <c r="AW592" s="379">
        <f t="shared" si="776"/>
        <v>0</v>
      </c>
      <c r="AX592" s="379">
        <f t="shared" si="776"/>
        <v>0</v>
      </c>
      <c r="AY592" s="379">
        <f t="shared" si="776"/>
        <v>0</v>
      </c>
    </row>
    <row r="593" spans="1:51" ht="13.5" thickBot="1" x14ac:dyDescent="0.25">
      <c r="A593" s="386"/>
      <c r="B593" s="386"/>
      <c r="C593" s="386" t="s">
        <v>269</v>
      </c>
      <c r="D593" s="386"/>
      <c r="E593" s="491"/>
      <c r="F593" s="384"/>
      <c r="G593" s="388">
        <f t="shared" ref="G593:AY593" si="777">MEDIAN(G579:G587)</f>
        <v>6329</v>
      </c>
      <c r="H593" s="388">
        <f t="shared" si="777"/>
        <v>3620</v>
      </c>
      <c r="I593" s="388">
        <f t="shared" si="777"/>
        <v>303</v>
      </c>
      <c r="J593" s="388" t="e">
        <f t="shared" si="777"/>
        <v>#NUM!</v>
      </c>
      <c r="K593" s="388">
        <f t="shared" si="777"/>
        <v>2198</v>
      </c>
      <c r="L593" s="388">
        <f t="shared" si="777"/>
        <v>0</v>
      </c>
      <c r="M593" s="388">
        <f t="shared" si="777"/>
        <v>1740</v>
      </c>
      <c r="N593" s="388">
        <f t="shared" si="777"/>
        <v>0</v>
      </c>
      <c r="O593" s="388">
        <f t="shared" si="777"/>
        <v>0</v>
      </c>
      <c r="P593" s="388">
        <f t="shared" si="777"/>
        <v>0</v>
      </c>
      <c r="Q593" s="388">
        <f t="shared" si="777"/>
        <v>0</v>
      </c>
      <c r="R593" s="388">
        <f t="shared" si="777"/>
        <v>0</v>
      </c>
      <c r="S593" s="388">
        <f t="shared" si="777"/>
        <v>0</v>
      </c>
      <c r="T593" s="388">
        <f t="shared" si="777"/>
        <v>0</v>
      </c>
      <c r="U593" s="388">
        <f t="shared" si="777"/>
        <v>0</v>
      </c>
      <c r="V593" s="388">
        <f t="shared" si="777"/>
        <v>0</v>
      </c>
      <c r="W593" s="388">
        <f t="shared" si="777"/>
        <v>0</v>
      </c>
      <c r="X593" s="388">
        <f t="shared" si="777"/>
        <v>0</v>
      </c>
      <c r="Y593" s="388">
        <f t="shared" si="777"/>
        <v>0</v>
      </c>
      <c r="Z593" s="388">
        <f t="shared" si="777"/>
        <v>0</v>
      </c>
      <c r="AA593" s="388">
        <f t="shared" si="777"/>
        <v>0</v>
      </c>
      <c r="AB593" s="388">
        <f t="shared" si="777"/>
        <v>0</v>
      </c>
      <c r="AC593" s="388">
        <f t="shared" si="777"/>
        <v>0</v>
      </c>
      <c r="AD593" s="388">
        <f t="shared" si="777"/>
        <v>0</v>
      </c>
      <c r="AE593" s="388">
        <f t="shared" si="777"/>
        <v>0</v>
      </c>
      <c r="AF593" s="388">
        <f t="shared" si="777"/>
        <v>0</v>
      </c>
      <c r="AG593" s="388">
        <f t="shared" si="777"/>
        <v>0</v>
      </c>
      <c r="AH593" s="388">
        <f t="shared" si="777"/>
        <v>0</v>
      </c>
      <c r="AI593" s="388">
        <f t="shared" si="777"/>
        <v>0</v>
      </c>
      <c r="AJ593" s="388">
        <f t="shared" si="777"/>
        <v>0</v>
      </c>
      <c r="AK593" s="388">
        <f t="shared" si="777"/>
        <v>0</v>
      </c>
      <c r="AL593" s="388">
        <f t="shared" si="777"/>
        <v>0</v>
      </c>
      <c r="AM593" s="388">
        <f t="shared" si="777"/>
        <v>0</v>
      </c>
      <c r="AN593" s="492">
        <f t="shared" si="777"/>
        <v>0</v>
      </c>
      <c r="AO593" s="388">
        <f t="shared" si="777"/>
        <v>0</v>
      </c>
      <c r="AP593" s="388">
        <f t="shared" si="777"/>
        <v>0</v>
      </c>
      <c r="AQ593" s="388">
        <f t="shared" si="777"/>
        <v>0</v>
      </c>
      <c r="AR593" s="388">
        <f t="shared" si="777"/>
        <v>0</v>
      </c>
      <c r="AS593" s="388">
        <f t="shared" si="777"/>
        <v>0</v>
      </c>
      <c r="AT593" s="388">
        <f t="shared" si="777"/>
        <v>0</v>
      </c>
      <c r="AU593" s="388">
        <f t="shared" si="777"/>
        <v>0</v>
      </c>
      <c r="AV593" s="388">
        <f t="shared" si="777"/>
        <v>0</v>
      </c>
      <c r="AW593" s="388">
        <f t="shared" si="777"/>
        <v>0</v>
      </c>
      <c r="AX593" s="388">
        <f t="shared" si="777"/>
        <v>0</v>
      </c>
      <c r="AY593" s="388">
        <f t="shared" si="777"/>
        <v>0</v>
      </c>
    </row>
    <row r="594" spans="1:51" ht="13.5" thickTop="1" x14ac:dyDescent="0.2"/>
    <row r="595" spans="1:51" ht="13.5" thickBot="1" x14ac:dyDescent="0.25">
      <c r="A595" s="400"/>
      <c r="B595" s="400"/>
      <c r="C595" s="402" t="s">
        <v>160</v>
      </c>
      <c r="D595" s="402"/>
      <c r="E595" s="503"/>
    </row>
    <row r="596" spans="1:51" ht="13.5" thickTop="1" x14ac:dyDescent="0.2">
      <c r="A596" s="376">
        <v>11600</v>
      </c>
      <c r="B596" s="378" t="str">
        <f t="shared" ref="B596:B601" si="778">VLOOKUP($A596,$A$5:$L$133,2,FALSE)</f>
        <v>Carrathool (A)</v>
      </c>
      <c r="C596" s="377" t="str">
        <f t="shared" ref="C596:C601" si="779">VLOOKUP($A596,$A$5:$L$133,3,FALSE)</f>
        <v>RAMROC Riverina</v>
      </c>
      <c r="D596" s="503" t="str">
        <f t="shared" ref="D596:D601" si="780">VLOOKUP($A596,$A$5:$L$133,4,FALSE)</f>
        <v>N</v>
      </c>
      <c r="E596" s="503"/>
      <c r="F596"/>
      <c r="G596" s="379">
        <f t="shared" ref="G596:G601" si="781">VLOOKUP($A596,$A$5:$AY$132,7,FALSE)</f>
        <v>2760</v>
      </c>
      <c r="H596" s="379">
        <f t="shared" ref="H596:H601" si="782">VLOOKUP($A596,$A$5:$AY$132,8,FALSE)</f>
        <v>2624</v>
      </c>
      <c r="I596" s="379">
        <f t="shared" ref="I596:I601" si="783">VLOOKUP($A596,$A$5:$AY$132,9,FALSE)</f>
        <v>180</v>
      </c>
      <c r="J596" s="379" t="str">
        <f t="shared" ref="J596:J601" si="784">VLOOKUP($A596,$A$5:$AY$132,10,FALSE)</f>
        <v>Y</v>
      </c>
      <c r="K596" s="379">
        <f t="shared" ref="K596:K601" si="785">VLOOKUP($A596,$A$5:$AY$132,11,FALSE)</f>
        <v>704</v>
      </c>
      <c r="L596" s="379">
        <f t="shared" ref="L596:L601" si="786">VLOOKUP($A596,$A$5:$AY$132,12,FALSE)</f>
        <v>0</v>
      </c>
      <c r="M596" s="379">
        <f t="shared" ref="M596:M601" si="787">VLOOKUP($A596,$A$4:$AY$132,13,FALSE)</f>
        <v>0</v>
      </c>
      <c r="N596" s="379">
        <f t="shared" ref="N596:N601" si="788">VLOOKUP($A596,$A$4:$AY$132,14,FALSE)</f>
        <v>0</v>
      </c>
      <c r="O596" s="379">
        <f t="shared" ref="O596:O601" si="789">VLOOKUP($A596,$A$4:$AY$132,15,FALSE)</f>
        <v>0</v>
      </c>
      <c r="P596" s="379">
        <f t="shared" ref="P596:P601" si="790">VLOOKUP($A596,$A$4:$AY$132,16,FALSE)</f>
        <v>0</v>
      </c>
      <c r="Q596" s="379">
        <f t="shared" ref="Q596:Q601" si="791">VLOOKUP($A596,$A$4:$AY$132,17,FALSE)</f>
        <v>0</v>
      </c>
      <c r="R596" s="379">
        <f t="shared" ref="R596:R601" si="792">VLOOKUP($A596,$A$4:$AY$132,18,FALSE)</f>
        <v>0</v>
      </c>
      <c r="S596" s="379">
        <f t="shared" ref="S596:S601" si="793">VLOOKUP($A596,$A$4:$AY$132,19,FALSE)</f>
        <v>0</v>
      </c>
      <c r="T596" s="379">
        <f t="shared" ref="T596:T601" si="794">VLOOKUP($A596,$A$4:$AY$132,20,FALSE)</f>
        <v>0</v>
      </c>
      <c r="U596" s="379">
        <f t="shared" ref="U596:U601" si="795">VLOOKUP($A596,$A$4:$AY$132,21,FALSE)</f>
        <v>0</v>
      </c>
      <c r="V596" s="379">
        <f t="shared" ref="V596:V601" si="796">VLOOKUP($A596,$A$4:$AY$132,22,FALSE)</f>
        <v>0</v>
      </c>
      <c r="W596" s="379">
        <f t="shared" ref="W596:W601" si="797">VLOOKUP($A596,$A$4:$AY$132,23,FALSE)</f>
        <v>0</v>
      </c>
      <c r="X596" s="379">
        <f t="shared" ref="X596:X601" si="798">VLOOKUP($A596,$A$4:$AY$132,24,FALSE)</f>
        <v>0</v>
      </c>
      <c r="Y596" s="379">
        <f t="shared" ref="Y596:Y601" si="799">VLOOKUP($A596,$A$4:$AY$132,25,FALSE)</f>
        <v>0</v>
      </c>
      <c r="Z596" s="379">
        <f t="shared" ref="Z596:Z601" si="800">VLOOKUP($A596,$A$4:$AY$132,26,FALSE)</f>
        <v>0</v>
      </c>
      <c r="AA596" s="379">
        <f t="shared" ref="AA596:AA601" si="801">VLOOKUP($A596,$A$4:$AY$132,27,FALSE)</f>
        <v>0</v>
      </c>
      <c r="AB596" s="379">
        <f t="shared" ref="AB596:AB601" si="802">VLOOKUP($A596,$A$4:$AY$132,28,FALSE)</f>
        <v>0</v>
      </c>
      <c r="AC596" s="379">
        <f t="shared" ref="AC596:AC601" si="803">VLOOKUP($A596,$A$4:$AY$132,29,FALSE)</f>
        <v>0</v>
      </c>
      <c r="AD596" s="379">
        <f t="shared" ref="AD596:AD601" si="804">VLOOKUP($A596,$A$4:$AY$132,30,FALSE)</f>
        <v>0</v>
      </c>
      <c r="AE596" s="379">
        <f t="shared" ref="AE596:AE601" si="805">VLOOKUP($A596,$A$4:$AY$132,31,FALSE)</f>
        <v>0</v>
      </c>
      <c r="AF596" s="379">
        <f t="shared" ref="AF596:AF601" si="806">VLOOKUP($A596,$A$4:$AY$132,32,FALSE)</f>
        <v>0</v>
      </c>
      <c r="AG596" s="379">
        <f t="shared" ref="AG596:AG601" si="807">VLOOKUP($A596,$A$4:$AY$132,33,FALSE)</f>
        <v>0</v>
      </c>
      <c r="AH596" s="379">
        <f t="shared" ref="AH596:AH601" si="808">VLOOKUP($A596,$A$4:$AY$132,34,FALSE)</f>
        <v>0</v>
      </c>
      <c r="AI596" s="379">
        <f t="shared" ref="AI596:AI601" si="809">VLOOKUP($A596,$A$4:$AY$132,35,FALSE)</f>
        <v>0</v>
      </c>
      <c r="AJ596" s="379">
        <f t="shared" ref="AJ596:AJ601" si="810">VLOOKUP($A596,$A$4:$AY$132,36,FALSE)</f>
        <v>0</v>
      </c>
      <c r="AK596" s="379">
        <f t="shared" ref="AK596:AK601" si="811">VLOOKUP($A596,$A$4:$AY$132,37,FALSE)</f>
        <v>0</v>
      </c>
      <c r="AL596" s="379">
        <f t="shared" ref="AL596:AL601" si="812">VLOOKUP($A596,$A$4:$AY$132,38,FALSE)</f>
        <v>0</v>
      </c>
      <c r="AM596" s="379">
        <f t="shared" ref="AM596:AM601" si="813">VLOOKUP($A596,$A$4:$AY$132,39,FALSE)</f>
        <v>0</v>
      </c>
      <c r="AN596" s="490">
        <f t="shared" ref="AN596:AN601" si="814">VLOOKUP($A596,$A$4:$AY$132,40,FALSE)</f>
        <v>0</v>
      </c>
      <c r="AO596" s="379">
        <f t="shared" ref="AO596:AO601" si="815">VLOOKUP($A596,$A$4:$AY$132,41,FALSE)</f>
        <v>0</v>
      </c>
      <c r="AP596" s="379">
        <f t="shared" ref="AP596:AP601" si="816">VLOOKUP($A596,$A$4:$AY$132,42,FALSE)</f>
        <v>0</v>
      </c>
      <c r="AQ596" s="379">
        <f t="shared" ref="AQ596:AQ601" si="817">VLOOKUP($A596,$A$4:$AY$132,43,FALSE)</f>
        <v>0</v>
      </c>
      <c r="AR596" s="379">
        <f t="shared" ref="AR596:AR601" si="818">VLOOKUP($A596,$A$4:$AY$132,44,FALSE)</f>
        <v>0</v>
      </c>
      <c r="AS596" s="379">
        <f t="shared" ref="AS596:AS601" si="819">VLOOKUP($A596,$A$4:$AY$132,45,FALSE)</f>
        <v>0</v>
      </c>
      <c r="AT596" s="379">
        <f t="shared" ref="AT596:AT601" si="820">VLOOKUP($A596,$A$4:$AY$132,46,FALSE)</f>
        <v>0</v>
      </c>
      <c r="AU596" s="379">
        <f t="shared" ref="AU596:AU601" si="821">VLOOKUP($A596,$A$4:$AY$132,47,FALSE)</f>
        <v>0</v>
      </c>
      <c r="AV596" s="379">
        <f t="shared" ref="AV596:AV601" si="822">VLOOKUP($A596,$A$4:$AY$132,48,FALSE)</f>
        <v>0</v>
      </c>
      <c r="AW596" s="379">
        <f t="shared" ref="AW596:AW601" si="823">VLOOKUP($A596,$A$4:$AY$132,49,FALSE)</f>
        <v>0</v>
      </c>
      <c r="AX596" s="379">
        <f t="shared" ref="AX596:AX601" si="824">VLOOKUP($A596,$A$4:$AY$132,50,FALSE)</f>
        <v>0</v>
      </c>
      <c r="AY596" s="379">
        <f t="shared" ref="AY596:AY601" si="825">VLOOKUP($A596,$A$4:$AY$132,51,FALSE)</f>
        <v>0</v>
      </c>
    </row>
    <row r="597" spans="1:51" x14ac:dyDescent="0.2">
      <c r="A597" s="376">
        <v>13450</v>
      </c>
      <c r="B597" s="378" t="str">
        <f t="shared" si="778"/>
        <v>Griffith (C)</v>
      </c>
      <c r="C597" s="377" t="str">
        <f t="shared" si="779"/>
        <v>RAMROC Riverina</v>
      </c>
      <c r="D597" s="503" t="str">
        <f t="shared" si="780"/>
        <v>N</v>
      </c>
      <c r="E597" s="503"/>
      <c r="F597"/>
      <c r="G597" s="379">
        <f t="shared" si="781"/>
        <v>26125</v>
      </c>
      <c r="H597" s="379">
        <f t="shared" si="782"/>
        <v>10531</v>
      </c>
      <c r="I597" s="379">
        <f t="shared" si="783"/>
        <v>268</v>
      </c>
      <c r="J597" s="379" t="str">
        <f t="shared" si="784"/>
        <v>Y</v>
      </c>
      <c r="K597" s="379">
        <f t="shared" si="785"/>
        <v>9426</v>
      </c>
      <c r="L597" s="379">
        <f t="shared" si="786"/>
        <v>0</v>
      </c>
      <c r="M597" s="379">
        <f t="shared" si="787"/>
        <v>8806</v>
      </c>
      <c r="N597" s="379">
        <f t="shared" si="788"/>
        <v>0</v>
      </c>
      <c r="O597" s="379">
        <f t="shared" si="789"/>
        <v>0</v>
      </c>
      <c r="P597" s="379">
        <f t="shared" si="790"/>
        <v>0</v>
      </c>
      <c r="Q597" s="379" t="str">
        <f t="shared" si="791"/>
        <v>Y</v>
      </c>
      <c r="R597" s="379" t="str">
        <f t="shared" si="792"/>
        <v>Tharbogang Waste Transfer Station</v>
      </c>
      <c r="S597" s="379">
        <f t="shared" si="793"/>
        <v>0</v>
      </c>
      <c r="T597" s="379">
        <f t="shared" si="794"/>
        <v>0</v>
      </c>
      <c r="U597" s="379">
        <f t="shared" si="795"/>
        <v>0</v>
      </c>
      <c r="V597" s="379">
        <f t="shared" si="796"/>
        <v>0</v>
      </c>
      <c r="W597" s="379">
        <f t="shared" si="797"/>
        <v>0</v>
      </c>
      <c r="X597" s="379">
        <f t="shared" si="798"/>
        <v>0</v>
      </c>
      <c r="Y597" s="379">
        <f t="shared" si="799"/>
        <v>0</v>
      </c>
      <c r="Z597" s="379">
        <f t="shared" si="800"/>
        <v>0</v>
      </c>
      <c r="AA597" s="379">
        <f t="shared" si="801"/>
        <v>0</v>
      </c>
      <c r="AB597" s="379">
        <f t="shared" si="802"/>
        <v>0</v>
      </c>
      <c r="AC597" s="379">
        <f t="shared" si="803"/>
        <v>0</v>
      </c>
      <c r="AD597" s="379">
        <f t="shared" si="804"/>
        <v>0</v>
      </c>
      <c r="AE597" s="379">
        <f t="shared" si="805"/>
        <v>0</v>
      </c>
      <c r="AF597" s="379">
        <f t="shared" si="806"/>
        <v>0</v>
      </c>
      <c r="AG597" s="379">
        <f t="shared" si="807"/>
        <v>0</v>
      </c>
      <c r="AH597" s="379">
        <f t="shared" si="808"/>
        <v>0</v>
      </c>
      <c r="AI597" s="379">
        <f t="shared" si="809"/>
        <v>0</v>
      </c>
      <c r="AJ597" s="379">
        <f t="shared" si="810"/>
        <v>0</v>
      </c>
      <c r="AK597" s="379">
        <f t="shared" si="811"/>
        <v>0</v>
      </c>
      <c r="AL597" s="379">
        <f t="shared" si="812"/>
        <v>0</v>
      </c>
      <c r="AM597" s="379">
        <f t="shared" si="813"/>
        <v>0</v>
      </c>
      <c r="AN597" s="490">
        <f t="shared" si="814"/>
        <v>0</v>
      </c>
      <c r="AO597" s="379">
        <f t="shared" si="815"/>
        <v>0</v>
      </c>
      <c r="AP597" s="379">
        <f t="shared" si="816"/>
        <v>0</v>
      </c>
      <c r="AQ597" s="379">
        <f t="shared" si="817"/>
        <v>0</v>
      </c>
      <c r="AR597" s="379">
        <f t="shared" si="818"/>
        <v>0</v>
      </c>
      <c r="AS597" s="379">
        <f t="shared" si="819"/>
        <v>0</v>
      </c>
      <c r="AT597" s="379">
        <f t="shared" si="820"/>
        <v>0</v>
      </c>
      <c r="AU597" s="379">
        <f t="shared" si="821"/>
        <v>0</v>
      </c>
      <c r="AV597" s="379">
        <f t="shared" si="822"/>
        <v>0</v>
      </c>
      <c r="AW597" s="379">
        <f t="shared" si="823"/>
        <v>0</v>
      </c>
      <c r="AX597" s="379">
        <f t="shared" si="824"/>
        <v>0</v>
      </c>
      <c r="AY597" s="379">
        <f t="shared" si="825"/>
        <v>0</v>
      </c>
    </row>
    <row r="598" spans="1:51" x14ac:dyDescent="0.2">
      <c r="A598" s="376">
        <v>13850</v>
      </c>
      <c r="B598" s="378" t="str">
        <f t="shared" si="778"/>
        <v>Hay (A)</v>
      </c>
      <c r="C598" s="377" t="str">
        <f t="shared" si="779"/>
        <v>RAMROC Riverina</v>
      </c>
      <c r="D598" s="503" t="str">
        <f t="shared" si="780"/>
        <v>N</v>
      </c>
      <c r="E598" s="503"/>
      <c r="F598"/>
      <c r="G598" s="379">
        <f t="shared" si="781"/>
        <v>2956</v>
      </c>
      <c r="H598" s="379">
        <f t="shared" si="782"/>
        <v>1179</v>
      </c>
      <c r="I598" s="379">
        <f t="shared" si="783"/>
        <v>262</v>
      </c>
      <c r="J598" s="379" t="str">
        <f t="shared" si="784"/>
        <v>Y</v>
      </c>
      <c r="K598" s="379">
        <f t="shared" si="785"/>
        <v>1420</v>
      </c>
      <c r="L598" s="379">
        <f t="shared" si="786"/>
        <v>0</v>
      </c>
      <c r="M598" s="379">
        <f t="shared" si="787"/>
        <v>0</v>
      </c>
      <c r="N598" s="379">
        <f t="shared" si="788"/>
        <v>0</v>
      </c>
      <c r="O598" s="379">
        <f t="shared" si="789"/>
        <v>0</v>
      </c>
      <c r="P598" s="379">
        <f t="shared" si="790"/>
        <v>0</v>
      </c>
      <c r="Q598" s="379" t="str">
        <f t="shared" si="791"/>
        <v>Y</v>
      </c>
      <c r="R598" s="379" t="str">
        <f t="shared" si="792"/>
        <v>Hay Shire CRC</v>
      </c>
      <c r="S598" s="379">
        <f t="shared" si="793"/>
        <v>0</v>
      </c>
      <c r="T598" s="379">
        <f t="shared" si="794"/>
        <v>0</v>
      </c>
      <c r="U598" s="379">
        <f t="shared" si="795"/>
        <v>0</v>
      </c>
      <c r="V598" s="379">
        <f t="shared" si="796"/>
        <v>0</v>
      </c>
      <c r="W598" s="379">
        <f t="shared" si="797"/>
        <v>0</v>
      </c>
      <c r="X598" s="379">
        <f t="shared" si="798"/>
        <v>0</v>
      </c>
      <c r="Y598" s="379">
        <f t="shared" si="799"/>
        <v>0</v>
      </c>
      <c r="Z598" s="379">
        <f t="shared" si="800"/>
        <v>0</v>
      </c>
      <c r="AA598" s="379">
        <f t="shared" si="801"/>
        <v>0</v>
      </c>
      <c r="AB598" s="379">
        <f t="shared" si="802"/>
        <v>0</v>
      </c>
      <c r="AC598" s="379">
        <f t="shared" si="803"/>
        <v>0</v>
      </c>
      <c r="AD598" s="379">
        <f t="shared" si="804"/>
        <v>0</v>
      </c>
      <c r="AE598" s="379">
        <f t="shared" si="805"/>
        <v>0</v>
      </c>
      <c r="AF598" s="379">
        <f t="shared" si="806"/>
        <v>0</v>
      </c>
      <c r="AG598" s="379">
        <f t="shared" si="807"/>
        <v>0</v>
      </c>
      <c r="AH598" s="379">
        <f t="shared" si="808"/>
        <v>0</v>
      </c>
      <c r="AI598" s="379">
        <f t="shared" si="809"/>
        <v>0</v>
      </c>
      <c r="AJ598" s="379">
        <f t="shared" si="810"/>
        <v>0</v>
      </c>
      <c r="AK598" s="379">
        <f t="shared" si="811"/>
        <v>0</v>
      </c>
      <c r="AL598" s="379">
        <f t="shared" si="812"/>
        <v>0</v>
      </c>
      <c r="AM598" s="379">
        <f t="shared" si="813"/>
        <v>0</v>
      </c>
      <c r="AN598" s="490">
        <f t="shared" si="814"/>
        <v>0</v>
      </c>
      <c r="AO598" s="379">
        <f t="shared" si="815"/>
        <v>0</v>
      </c>
      <c r="AP598" s="379">
        <f t="shared" si="816"/>
        <v>0</v>
      </c>
      <c r="AQ598" s="379">
        <f t="shared" si="817"/>
        <v>0</v>
      </c>
      <c r="AR598" s="379">
        <f t="shared" si="818"/>
        <v>0</v>
      </c>
      <c r="AS598" s="379">
        <f t="shared" si="819"/>
        <v>0</v>
      </c>
      <c r="AT598" s="379">
        <f t="shared" si="820"/>
        <v>0</v>
      </c>
      <c r="AU598" s="379">
        <f t="shared" si="821"/>
        <v>0</v>
      </c>
      <c r="AV598" s="379">
        <f t="shared" si="822"/>
        <v>0</v>
      </c>
      <c r="AW598" s="379">
        <f t="shared" si="823"/>
        <v>0</v>
      </c>
      <c r="AX598" s="379">
        <f t="shared" si="824"/>
        <v>0</v>
      </c>
      <c r="AY598" s="379">
        <f t="shared" si="825"/>
        <v>0</v>
      </c>
    </row>
    <row r="599" spans="1:51" x14ac:dyDescent="0.2">
      <c r="A599" s="376">
        <v>14750</v>
      </c>
      <c r="B599" s="378" t="str">
        <f t="shared" si="778"/>
        <v>Leeton (A)</v>
      </c>
      <c r="C599" s="377" t="str">
        <f t="shared" si="779"/>
        <v>RAMROC Riverina</v>
      </c>
      <c r="D599" s="503" t="str">
        <f t="shared" si="780"/>
        <v>N</v>
      </c>
      <c r="E599" s="503"/>
      <c r="F599"/>
      <c r="G599" s="379">
        <f t="shared" si="781"/>
        <v>11712</v>
      </c>
      <c r="H599" s="379">
        <f t="shared" si="782"/>
        <v>3811</v>
      </c>
      <c r="I599" s="379">
        <f t="shared" si="783"/>
        <v>249</v>
      </c>
      <c r="J599" s="379" t="str">
        <f t="shared" si="784"/>
        <v>Y</v>
      </c>
      <c r="K599" s="379">
        <f t="shared" si="785"/>
        <v>4136</v>
      </c>
      <c r="L599" s="379">
        <f t="shared" si="786"/>
        <v>0</v>
      </c>
      <c r="M599" s="379">
        <f t="shared" si="787"/>
        <v>4039</v>
      </c>
      <c r="N599" s="379">
        <f t="shared" si="788"/>
        <v>0</v>
      </c>
      <c r="O599" s="379">
        <f t="shared" si="789"/>
        <v>0</v>
      </c>
      <c r="P599" s="379" t="str">
        <f t="shared" si="790"/>
        <v>Y</v>
      </c>
      <c r="Q599" s="379" t="str">
        <f t="shared" si="791"/>
        <v>Y</v>
      </c>
      <c r="R599" s="379" t="str">
        <f t="shared" si="792"/>
        <v>Leeton Resource Recovery Centre</v>
      </c>
      <c r="S599" s="379">
        <f t="shared" si="793"/>
        <v>0</v>
      </c>
      <c r="T599" s="379">
        <f t="shared" si="794"/>
        <v>0</v>
      </c>
      <c r="U599" s="379">
        <f t="shared" si="795"/>
        <v>0</v>
      </c>
      <c r="V599" s="379">
        <f t="shared" si="796"/>
        <v>0</v>
      </c>
      <c r="W599" s="379">
        <f t="shared" si="797"/>
        <v>0</v>
      </c>
      <c r="X599" s="379">
        <f t="shared" si="798"/>
        <v>0</v>
      </c>
      <c r="Y599" s="379">
        <f t="shared" si="799"/>
        <v>0</v>
      </c>
      <c r="Z599" s="379">
        <f t="shared" si="800"/>
        <v>0</v>
      </c>
      <c r="AA599" s="379">
        <f t="shared" si="801"/>
        <v>0</v>
      </c>
      <c r="AB599" s="379">
        <f t="shared" si="802"/>
        <v>0</v>
      </c>
      <c r="AC599" s="379">
        <f t="shared" si="803"/>
        <v>0</v>
      </c>
      <c r="AD599" s="379">
        <f t="shared" si="804"/>
        <v>0</v>
      </c>
      <c r="AE599" s="379">
        <f t="shared" si="805"/>
        <v>0</v>
      </c>
      <c r="AF599" s="379">
        <f t="shared" si="806"/>
        <v>0</v>
      </c>
      <c r="AG599" s="379">
        <f t="shared" si="807"/>
        <v>0</v>
      </c>
      <c r="AH599" s="379">
        <f t="shared" si="808"/>
        <v>0</v>
      </c>
      <c r="AI599" s="379">
        <f t="shared" si="809"/>
        <v>0</v>
      </c>
      <c r="AJ599" s="379">
        <f t="shared" si="810"/>
        <v>0</v>
      </c>
      <c r="AK599" s="379">
        <f t="shared" si="811"/>
        <v>0</v>
      </c>
      <c r="AL599" s="379">
        <f t="shared" si="812"/>
        <v>0</v>
      </c>
      <c r="AM599" s="379">
        <f t="shared" si="813"/>
        <v>0</v>
      </c>
      <c r="AN599" s="490">
        <f t="shared" si="814"/>
        <v>0</v>
      </c>
      <c r="AO599" s="379">
        <f t="shared" si="815"/>
        <v>0</v>
      </c>
      <c r="AP599" s="379">
        <f t="shared" si="816"/>
        <v>0</v>
      </c>
      <c r="AQ599" s="379">
        <f t="shared" si="817"/>
        <v>0</v>
      </c>
      <c r="AR599" s="379">
        <f t="shared" si="818"/>
        <v>0</v>
      </c>
      <c r="AS599" s="379">
        <f t="shared" si="819"/>
        <v>0</v>
      </c>
      <c r="AT599" s="379">
        <f t="shared" si="820"/>
        <v>0</v>
      </c>
      <c r="AU599" s="379">
        <f t="shared" si="821"/>
        <v>0</v>
      </c>
      <c r="AV599" s="379">
        <f t="shared" si="822"/>
        <v>0</v>
      </c>
      <c r="AW599" s="379">
        <f t="shared" si="823"/>
        <v>0</v>
      </c>
      <c r="AX599" s="379">
        <f t="shared" si="824"/>
        <v>0</v>
      </c>
      <c r="AY599" s="379">
        <f t="shared" si="825"/>
        <v>0</v>
      </c>
    </row>
    <row r="600" spans="1:51" x14ac:dyDescent="0.2">
      <c r="A600" s="376">
        <v>15560</v>
      </c>
      <c r="B600" s="378" t="str">
        <f t="shared" si="778"/>
        <v>Murrumbidgee (A)</v>
      </c>
      <c r="C600" s="377" t="str">
        <f t="shared" si="779"/>
        <v>RAMROC Riverina</v>
      </c>
      <c r="D600" s="503" t="str">
        <f t="shared" si="780"/>
        <v>N</v>
      </c>
      <c r="E600" s="503"/>
      <c r="F600"/>
      <c r="G600" s="379">
        <f t="shared" si="781"/>
        <v>4071</v>
      </c>
      <c r="H600" s="379">
        <f t="shared" si="782"/>
        <v>1128</v>
      </c>
      <c r="I600" s="379">
        <f t="shared" si="783"/>
        <v>155</v>
      </c>
      <c r="J600" s="379" t="str">
        <f t="shared" si="784"/>
        <v>Y</v>
      </c>
      <c r="K600" s="379">
        <f t="shared" si="785"/>
        <v>1460</v>
      </c>
      <c r="L600" s="379">
        <f t="shared" si="786"/>
        <v>0</v>
      </c>
      <c r="M600" s="379">
        <f t="shared" si="787"/>
        <v>800</v>
      </c>
      <c r="N600" s="379">
        <f t="shared" si="788"/>
        <v>0</v>
      </c>
      <c r="O600" s="379">
        <f t="shared" si="789"/>
        <v>0</v>
      </c>
      <c r="P600" s="379">
        <f t="shared" si="790"/>
        <v>0</v>
      </c>
      <c r="Q600" s="379">
        <f t="shared" si="791"/>
        <v>0</v>
      </c>
      <c r="R600" s="379">
        <f t="shared" si="792"/>
        <v>0</v>
      </c>
      <c r="S600" s="379">
        <f t="shared" si="793"/>
        <v>0</v>
      </c>
      <c r="T600" s="379">
        <f t="shared" si="794"/>
        <v>0</v>
      </c>
      <c r="U600" s="379">
        <f t="shared" si="795"/>
        <v>0</v>
      </c>
      <c r="V600" s="379">
        <f t="shared" si="796"/>
        <v>0</v>
      </c>
      <c r="W600" s="379">
        <f t="shared" si="797"/>
        <v>0</v>
      </c>
      <c r="X600" s="379">
        <f t="shared" si="798"/>
        <v>0</v>
      </c>
      <c r="Y600" s="379">
        <f t="shared" si="799"/>
        <v>0</v>
      </c>
      <c r="Z600" s="379">
        <f t="shared" si="800"/>
        <v>0</v>
      </c>
      <c r="AA600" s="379">
        <f t="shared" si="801"/>
        <v>0</v>
      </c>
      <c r="AB600" s="379">
        <f t="shared" si="802"/>
        <v>0</v>
      </c>
      <c r="AC600" s="379">
        <f t="shared" si="803"/>
        <v>0</v>
      </c>
      <c r="AD600" s="379">
        <f t="shared" si="804"/>
        <v>0</v>
      </c>
      <c r="AE600" s="379">
        <f t="shared" si="805"/>
        <v>0</v>
      </c>
      <c r="AF600" s="379">
        <f t="shared" si="806"/>
        <v>0</v>
      </c>
      <c r="AG600" s="379">
        <f t="shared" si="807"/>
        <v>0</v>
      </c>
      <c r="AH600" s="379">
        <f t="shared" si="808"/>
        <v>0</v>
      </c>
      <c r="AI600" s="379">
        <f t="shared" si="809"/>
        <v>0</v>
      </c>
      <c r="AJ600" s="379">
        <f t="shared" si="810"/>
        <v>0</v>
      </c>
      <c r="AK600" s="379">
        <f t="shared" si="811"/>
        <v>0</v>
      </c>
      <c r="AL600" s="379">
        <f t="shared" si="812"/>
        <v>0</v>
      </c>
      <c r="AM600" s="379">
        <f t="shared" si="813"/>
        <v>0</v>
      </c>
      <c r="AN600" s="490">
        <f t="shared" si="814"/>
        <v>0</v>
      </c>
      <c r="AO600" s="379">
        <f t="shared" si="815"/>
        <v>0</v>
      </c>
      <c r="AP600" s="379">
        <f t="shared" si="816"/>
        <v>0</v>
      </c>
      <c r="AQ600" s="379">
        <f t="shared" si="817"/>
        <v>0</v>
      </c>
      <c r="AR600" s="379">
        <f t="shared" si="818"/>
        <v>0</v>
      </c>
      <c r="AS600" s="379">
        <f t="shared" si="819"/>
        <v>0</v>
      </c>
      <c r="AT600" s="379">
        <f t="shared" si="820"/>
        <v>0</v>
      </c>
      <c r="AU600" s="379">
        <f t="shared" si="821"/>
        <v>0</v>
      </c>
      <c r="AV600" s="379">
        <f t="shared" si="822"/>
        <v>0</v>
      </c>
      <c r="AW600" s="379">
        <f t="shared" si="823"/>
        <v>0</v>
      </c>
      <c r="AX600" s="379">
        <f t="shared" si="824"/>
        <v>0</v>
      </c>
      <c r="AY600" s="379">
        <f t="shared" si="825"/>
        <v>0</v>
      </c>
    </row>
    <row r="601" spans="1:51" ht="13.5" thickBot="1" x14ac:dyDescent="0.25">
      <c r="A601" s="376">
        <v>15800</v>
      </c>
      <c r="B601" s="378" t="str">
        <f t="shared" si="778"/>
        <v>Narrandera (A)</v>
      </c>
      <c r="C601" s="377" t="str">
        <f t="shared" si="779"/>
        <v>RAMROC Riverina</v>
      </c>
      <c r="D601" s="503" t="str">
        <f t="shared" si="780"/>
        <v>N</v>
      </c>
      <c r="E601" s="503"/>
      <c r="F601"/>
      <c r="G601" s="379">
        <f t="shared" si="781"/>
        <v>5912</v>
      </c>
      <c r="H601" s="379">
        <f t="shared" si="782"/>
        <v>2546</v>
      </c>
      <c r="I601" s="379">
        <f t="shared" si="783"/>
        <v>48.5</v>
      </c>
      <c r="J601" s="379" t="str">
        <f t="shared" si="784"/>
        <v>Y</v>
      </c>
      <c r="K601" s="379">
        <f t="shared" si="785"/>
        <v>3047</v>
      </c>
      <c r="L601" s="379">
        <f t="shared" si="786"/>
        <v>0</v>
      </c>
      <c r="M601" s="379">
        <f t="shared" si="787"/>
        <v>1012</v>
      </c>
      <c r="N601" s="379">
        <f t="shared" si="788"/>
        <v>0</v>
      </c>
      <c r="O601" s="379">
        <f t="shared" si="789"/>
        <v>0</v>
      </c>
      <c r="P601" s="379">
        <f t="shared" si="790"/>
        <v>0</v>
      </c>
      <c r="Q601" s="379">
        <f t="shared" si="791"/>
        <v>0</v>
      </c>
      <c r="R601" s="379">
        <f t="shared" si="792"/>
        <v>0</v>
      </c>
      <c r="S601" s="379">
        <f t="shared" si="793"/>
        <v>0</v>
      </c>
      <c r="T601" s="379">
        <f t="shared" si="794"/>
        <v>0</v>
      </c>
      <c r="U601" s="379">
        <f t="shared" si="795"/>
        <v>0</v>
      </c>
      <c r="V601" s="379">
        <f t="shared" si="796"/>
        <v>0</v>
      </c>
      <c r="W601" s="379">
        <f t="shared" si="797"/>
        <v>0</v>
      </c>
      <c r="X601" s="379">
        <f t="shared" si="798"/>
        <v>0</v>
      </c>
      <c r="Y601" s="379">
        <f t="shared" si="799"/>
        <v>0</v>
      </c>
      <c r="Z601" s="379">
        <f t="shared" si="800"/>
        <v>0</v>
      </c>
      <c r="AA601" s="379">
        <f t="shared" si="801"/>
        <v>0</v>
      </c>
      <c r="AB601" s="379">
        <f t="shared" si="802"/>
        <v>0</v>
      </c>
      <c r="AC601" s="379">
        <f t="shared" si="803"/>
        <v>0</v>
      </c>
      <c r="AD601" s="379">
        <f t="shared" si="804"/>
        <v>0</v>
      </c>
      <c r="AE601" s="379">
        <f t="shared" si="805"/>
        <v>0</v>
      </c>
      <c r="AF601" s="379">
        <f t="shared" si="806"/>
        <v>0</v>
      </c>
      <c r="AG601" s="379">
        <f t="shared" si="807"/>
        <v>0</v>
      </c>
      <c r="AH601" s="379">
        <f t="shared" si="808"/>
        <v>0</v>
      </c>
      <c r="AI601" s="379">
        <f t="shared" si="809"/>
        <v>0</v>
      </c>
      <c r="AJ601" s="379">
        <f t="shared" si="810"/>
        <v>0</v>
      </c>
      <c r="AK601" s="379">
        <f t="shared" si="811"/>
        <v>0</v>
      </c>
      <c r="AL601" s="379">
        <f t="shared" si="812"/>
        <v>0</v>
      </c>
      <c r="AM601" s="379">
        <f t="shared" si="813"/>
        <v>0</v>
      </c>
      <c r="AN601" s="490">
        <f t="shared" si="814"/>
        <v>0</v>
      </c>
      <c r="AO601" s="379">
        <f t="shared" si="815"/>
        <v>0</v>
      </c>
      <c r="AP601" s="379">
        <f t="shared" si="816"/>
        <v>0</v>
      </c>
      <c r="AQ601" s="379">
        <f t="shared" si="817"/>
        <v>0</v>
      </c>
      <c r="AR601" s="379">
        <f t="shared" si="818"/>
        <v>0</v>
      </c>
      <c r="AS601" s="379">
        <f t="shared" si="819"/>
        <v>0</v>
      </c>
      <c r="AT601" s="379">
        <f t="shared" si="820"/>
        <v>0</v>
      </c>
      <c r="AU601" s="379">
        <f t="shared" si="821"/>
        <v>0</v>
      </c>
      <c r="AV601" s="379">
        <f t="shared" si="822"/>
        <v>0</v>
      </c>
      <c r="AW601" s="379">
        <f t="shared" si="823"/>
        <v>0</v>
      </c>
      <c r="AX601" s="379">
        <f t="shared" si="824"/>
        <v>0</v>
      </c>
      <c r="AY601" s="379">
        <f t="shared" si="825"/>
        <v>0</v>
      </c>
    </row>
    <row r="602" spans="1:51" ht="13.5" thickTop="1" x14ac:dyDescent="0.2">
      <c r="A602" s="380"/>
      <c r="B602" s="380"/>
      <c r="C602" s="380" t="s">
        <v>264</v>
      </c>
      <c r="D602" s="380"/>
      <c r="E602" s="484"/>
      <c r="F602" s="381"/>
      <c r="G602" s="382">
        <f t="shared" ref="G602:AY602" si="826">COUNTIF(G596:G601,"&gt;0")</f>
        <v>6</v>
      </c>
      <c r="H602" s="382">
        <f t="shared" si="826"/>
        <v>6</v>
      </c>
      <c r="I602" s="382">
        <f t="shared" si="826"/>
        <v>6</v>
      </c>
      <c r="J602" s="382">
        <f t="shared" si="826"/>
        <v>0</v>
      </c>
      <c r="K602" s="382">
        <f t="shared" si="826"/>
        <v>6</v>
      </c>
      <c r="L602" s="382">
        <f t="shared" si="826"/>
        <v>0</v>
      </c>
      <c r="M602" s="382">
        <f t="shared" si="826"/>
        <v>4</v>
      </c>
      <c r="N602" s="382">
        <f t="shared" si="826"/>
        <v>0</v>
      </c>
      <c r="O602" s="382">
        <f t="shared" si="826"/>
        <v>0</v>
      </c>
      <c r="P602" s="382">
        <f t="shared" si="826"/>
        <v>0</v>
      </c>
      <c r="Q602" s="382">
        <f t="shared" si="826"/>
        <v>0</v>
      </c>
      <c r="R602" s="382">
        <f t="shared" si="826"/>
        <v>0</v>
      </c>
      <c r="S602" s="382">
        <f t="shared" si="826"/>
        <v>0</v>
      </c>
      <c r="T602" s="382">
        <f t="shared" si="826"/>
        <v>0</v>
      </c>
      <c r="U602" s="382">
        <f t="shared" si="826"/>
        <v>0</v>
      </c>
      <c r="V602" s="382">
        <f t="shared" si="826"/>
        <v>0</v>
      </c>
      <c r="W602" s="382">
        <f t="shared" si="826"/>
        <v>0</v>
      </c>
      <c r="X602" s="382">
        <f t="shared" si="826"/>
        <v>0</v>
      </c>
      <c r="Y602" s="382">
        <f t="shared" si="826"/>
        <v>0</v>
      </c>
      <c r="Z602" s="382">
        <f t="shared" si="826"/>
        <v>0</v>
      </c>
      <c r="AA602" s="382">
        <f t="shared" si="826"/>
        <v>0</v>
      </c>
      <c r="AB602" s="382">
        <f t="shared" si="826"/>
        <v>0</v>
      </c>
      <c r="AC602" s="382">
        <f t="shared" si="826"/>
        <v>0</v>
      </c>
      <c r="AD602" s="382">
        <f t="shared" si="826"/>
        <v>0</v>
      </c>
      <c r="AE602" s="382">
        <f t="shared" si="826"/>
        <v>0</v>
      </c>
      <c r="AF602" s="382">
        <f t="shared" si="826"/>
        <v>0</v>
      </c>
      <c r="AG602" s="382">
        <f t="shared" si="826"/>
        <v>0</v>
      </c>
      <c r="AH602" s="382">
        <f t="shared" si="826"/>
        <v>0</v>
      </c>
      <c r="AI602" s="382">
        <f t="shared" si="826"/>
        <v>0</v>
      </c>
      <c r="AJ602" s="382">
        <f t="shared" si="826"/>
        <v>0</v>
      </c>
      <c r="AK602" s="382">
        <f t="shared" si="826"/>
        <v>0</v>
      </c>
      <c r="AL602" s="382">
        <f t="shared" si="826"/>
        <v>0</v>
      </c>
      <c r="AM602" s="382">
        <f t="shared" si="826"/>
        <v>0</v>
      </c>
      <c r="AN602" s="485">
        <f t="shared" si="826"/>
        <v>0</v>
      </c>
      <c r="AO602" s="382">
        <f t="shared" si="826"/>
        <v>0</v>
      </c>
      <c r="AP602" s="382">
        <f t="shared" si="826"/>
        <v>0</v>
      </c>
      <c r="AQ602" s="382">
        <f t="shared" si="826"/>
        <v>0</v>
      </c>
      <c r="AR602" s="382">
        <f t="shared" si="826"/>
        <v>0</v>
      </c>
      <c r="AS602" s="382">
        <f t="shared" si="826"/>
        <v>0</v>
      </c>
      <c r="AT602" s="382">
        <f t="shared" si="826"/>
        <v>0</v>
      </c>
      <c r="AU602" s="382">
        <f t="shared" si="826"/>
        <v>0</v>
      </c>
      <c r="AV602" s="382">
        <f t="shared" si="826"/>
        <v>0</v>
      </c>
      <c r="AW602" s="382">
        <f t="shared" si="826"/>
        <v>0</v>
      </c>
      <c r="AX602" s="382">
        <f t="shared" si="826"/>
        <v>0</v>
      </c>
      <c r="AY602" s="382">
        <f t="shared" si="826"/>
        <v>0</v>
      </c>
    </row>
    <row r="603" spans="1:51" x14ac:dyDescent="0.2">
      <c r="A603" s="376"/>
      <c r="B603" s="376"/>
      <c r="C603" s="376" t="s">
        <v>265</v>
      </c>
      <c r="D603" s="376"/>
      <c r="E603" s="488"/>
      <c r="F603" s="384"/>
      <c r="G603" s="385">
        <f t="shared" ref="G603:AY603" si="827">SUM(G596:G601)</f>
        <v>53536</v>
      </c>
      <c r="H603" s="385">
        <f t="shared" si="827"/>
        <v>21819</v>
      </c>
      <c r="I603" s="385">
        <f t="shared" si="827"/>
        <v>1162.5</v>
      </c>
      <c r="J603" s="385">
        <f t="shared" si="827"/>
        <v>0</v>
      </c>
      <c r="K603" s="385">
        <f t="shared" si="827"/>
        <v>20193</v>
      </c>
      <c r="L603" s="385">
        <f t="shared" si="827"/>
        <v>0</v>
      </c>
      <c r="M603" s="385">
        <f t="shared" si="827"/>
        <v>14657</v>
      </c>
      <c r="N603" s="385">
        <f t="shared" si="827"/>
        <v>0</v>
      </c>
      <c r="O603" s="385">
        <f t="shared" si="827"/>
        <v>0</v>
      </c>
      <c r="P603" s="385">
        <f t="shared" si="827"/>
        <v>0</v>
      </c>
      <c r="Q603" s="385">
        <f t="shared" si="827"/>
        <v>0</v>
      </c>
      <c r="R603" s="385">
        <f t="shared" si="827"/>
        <v>0</v>
      </c>
      <c r="S603" s="385">
        <f t="shared" si="827"/>
        <v>0</v>
      </c>
      <c r="T603" s="385">
        <f t="shared" si="827"/>
        <v>0</v>
      </c>
      <c r="U603" s="385">
        <f t="shared" si="827"/>
        <v>0</v>
      </c>
      <c r="V603" s="385">
        <f t="shared" si="827"/>
        <v>0</v>
      </c>
      <c r="W603" s="385">
        <f t="shared" si="827"/>
        <v>0</v>
      </c>
      <c r="X603" s="385">
        <f t="shared" si="827"/>
        <v>0</v>
      </c>
      <c r="Y603" s="385">
        <f t="shared" si="827"/>
        <v>0</v>
      </c>
      <c r="Z603" s="385">
        <f t="shared" si="827"/>
        <v>0</v>
      </c>
      <c r="AA603" s="385">
        <f t="shared" si="827"/>
        <v>0</v>
      </c>
      <c r="AB603" s="385">
        <f t="shared" si="827"/>
        <v>0</v>
      </c>
      <c r="AC603" s="385">
        <f t="shared" si="827"/>
        <v>0</v>
      </c>
      <c r="AD603" s="385">
        <f t="shared" si="827"/>
        <v>0</v>
      </c>
      <c r="AE603" s="385">
        <f t="shared" si="827"/>
        <v>0</v>
      </c>
      <c r="AF603" s="385">
        <f t="shared" si="827"/>
        <v>0</v>
      </c>
      <c r="AG603" s="385">
        <f t="shared" si="827"/>
        <v>0</v>
      </c>
      <c r="AH603" s="385">
        <f t="shared" si="827"/>
        <v>0</v>
      </c>
      <c r="AI603" s="385">
        <f t="shared" si="827"/>
        <v>0</v>
      </c>
      <c r="AJ603" s="385">
        <f t="shared" si="827"/>
        <v>0</v>
      </c>
      <c r="AK603" s="385">
        <f t="shared" si="827"/>
        <v>0</v>
      </c>
      <c r="AL603" s="385">
        <f t="shared" si="827"/>
        <v>0</v>
      </c>
      <c r="AM603" s="385">
        <f t="shared" si="827"/>
        <v>0</v>
      </c>
      <c r="AN603" s="489">
        <f t="shared" si="827"/>
        <v>0</v>
      </c>
      <c r="AO603" s="385">
        <f t="shared" si="827"/>
        <v>0</v>
      </c>
      <c r="AP603" s="385">
        <f t="shared" si="827"/>
        <v>0</v>
      </c>
      <c r="AQ603" s="385">
        <f t="shared" si="827"/>
        <v>0</v>
      </c>
      <c r="AR603" s="385">
        <f t="shared" si="827"/>
        <v>0</v>
      </c>
      <c r="AS603" s="385">
        <f t="shared" si="827"/>
        <v>0</v>
      </c>
      <c r="AT603" s="385">
        <f t="shared" si="827"/>
        <v>0</v>
      </c>
      <c r="AU603" s="385">
        <f t="shared" si="827"/>
        <v>0</v>
      </c>
      <c r="AV603" s="385">
        <f t="shared" si="827"/>
        <v>0</v>
      </c>
      <c r="AW603" s="385">
        <f t="shared" si="827"/>
        <v>0</v>
      </c>
      <c r="AX603" s="385">
        <f t="shared" si="827"/>
        <v>0</v>
      </c>
      <c r="AY603" s="385">
        <f t="shared" si="827"/>
        <v>0</v>
      </c>
    </row>
    <row r="604" spans="1:51" x14ac:dyDescent="0.2">
      <c r="A604" s="376"/>
      <c r="B604" s="376"/>
      <c r="C604" s="376" t="s">
        <v>266</v>
      </c>
      <c r="D604" s="376"/>
      <c r="E604" s="488"/>
      <c r="F604" s="384"/>
      <c r="G604" s="379">
        <f t="shared" ref="G604:AY604" si="828">MIN(G596:G601)</f>
        <v>2760</v>
      </c>
      <c r="H604" s="379">
        <f t="shared" si="828"/>
        <v>1128</v>
      </c>
      <c r="I604" s="379">
        <f t="shared" si="828"/>
        <v>48.5</v>
      </c>
      <c r="J604" s="379">
        <f t="shared" si="828"/>
        <v>0</v>
      </c>
      <c r="K604" s="379">
        <f t="shared" si="828"/>
        <v>704</v>
      </c>
      <c r="L604" s="379">
        <f t="shared" si="828"/>
        <v>0</v>
      </c>
      <c r="M604" s="379">
        <f t="shared" si="828"/>
        <v>0</v>
      </c>
      <c r="N604" s="379">
        <f t="shared" si="828"/>
        <v>0</v>
      </c>
      <c r="O604" s="379">
        <f t="shared" si="828"/>
        <v>0</v>
      </c>
      <c r="P604" s="379">
        <f t="shared" si="828"/>
        <v>0</v>
      </c>
      <c r="Q604" s="379">
        <f t="shared" si="828"/>
        <v>0</v>
      </c>
      <c r="R604" s="379">
        <f t="shared" si="828"/>
        <v>0</v>
      </c>
      <c r="S604" s="379">
        <f t="shared" si="828"/>
        <v>0</v>
      </c>
      <c r="T604" s="379">
        <f t="shared" si="828"/>
        <v>0</v>
      </c>
      <c r="U604" s="379">
        <f t="shared" si="828"/>
        <v>0</v>
      </c>
      <c r="V604" s="379">
        <f t="shared" si="828"/>
        <v>0</v>
      </c>
      <c r="W604" s="379">
        <f t="shared" si="828"/>
        <v>0</v>
      </c>
      <c r="X604" s="379">
        <f t="shared" si="828"/>
        <v>0</v>
      </c>
      <c r="Y604" s="379">
        <f t="shared" si="828"/>
        <v>0</v>
      </c>
      <c r="Z604" s="379">
        <f t="shared" si="828"/>
        <v>0</v>
      </c>
      <c r="AA604" s="379">
        <f t="shared" si="828"/>
        <v>0</v>
      </c>
      <c r="AB604" s="379">
        <f t="shared" si="828"/>
        <v>0</v>
      </c>
      <c r="AC604" s="379">
        <f t="shared" si="828"/>
        <v>0</v>
      </c>
      <c r="AD604" s="379">
        <f t="shared" si="828"/>
        <v>0</v>
      </c>
      <c r="AE604" s="379">
        <f t="shared" si="828"/>
        <v>0</v>
      </c>
      <c r="AF604" s="379">
        <f t="shared" si="828"/>
        <v>0</v>
      </c>
      <c r="AG604" s="379">
        <f t="shared" si="828"/>
        <v>0</v>
      </c>
      <c r="AH604" s="379">
        <f t="shared" si="828"/>
        <v>0</v>
      </c>
      <c r="AI604" s="379">
        <f t="shared" si="828"/>
        <v>0</v>
      </c>
      <c r="AJ604" s="379">
        <f t="shared" si="828"/>
        <v>0</v>
      </c>
      <c r="AK604" s="379">
        <f t="shared" si="828"/>
        <v>0</v>
      </c>
      <c r="AL604" s="379">
        <f t="shared" si="828"/>
        <v>0</v>
      </c>
      <c r="AM604" s="379">
        <f t="shared" si="828"/>
        <v>0</v>
      </c>
      <c r="AN604" s="490">
        <f t="shared" si="828"/>
        <v>0</v>
      </c>
      <c r="AO604" s="379">
        <f t="shared" si="828"/>
        <v>0</v>
      </c>
      <c r="AP604" s="379">
        <f t="shared" si="828"/>
        <v>0</v>
      </c>
      <c r="AQ604" s="379">
        <f t="shared" si="828"/>
        <v>0</v>
      </c>
      <c r="AR604" s="379">
        <f t="shared" si="828"/>
        <v>0</v>
      </c>
      <c r="AS604" s="379">
        <f t="shared" si="828"/>
        <v>0</v>
      </c>
      <c r="AT604" s="379">
        <f t="shared" si="828"/>
        <v>0</v>
      </c>
      <c r="AU604" s="379">
        <f t="shared" si="828"/>
        <v>0</v>
      </c>
      <c r="AV604" s="379">
        <f t="shared" si="828"/>
        <v>0</v>
      </c>
      <c r="AW604" s="379">
        <f t="shared" si="828"/>
        <v>0</v>
      </c>
      <c r="AX604" s="379">
        <f t="shared" si="828"/>
        <v>0</v>
      </c>
      <c r="AY604" s="379">
        <f t="shared" si="828"/>
        <v>0</v>
      </c>
    </row>
    <row r="605" spans="1:51" x14ac:dyDescent="0.2">
      <c r="A605" s="376"/>
      <c r="B605" s="376"/>
      <c r="C605" s="376" t="s">
        <v>267</v>
      </c>
      <c r="D605" s="376"/>
      <c r="E605" s="488"/>
      <c r="F605" s="384"/>
      <c r="G605" s="379">
        <f t="shared" ref="G605:AY605" si="829">MAX(G596:G601)</f>
        <v>26125</v>
      </c>
      <c r="H605" s="379">
        <f t="shared" si="829"/>
        <v>10531</v>
      </c>
      <c r="I605" s="379">
        <f t="shared" si="829"/>
        <v>268</v>
      </c>
      <c r="J605" s="379">
        <f t="shared" si="829"/>
        <v>0</v>
      </c>
      <c r="K605" s="379">
        <f t="shared" si="829"/>
        <v>9426</v>
      </c>
      <c r="L605" s="379">
        <f t="shared" si="829"/>
        <v>0</v>
      </c>
      <c r="M605" s="379">
        <f t="shared" si="829"/>
        <v>8806</v>
      </c>
      <c r="N605" s="379">
        <f t="shared" si="829"/>
        <v>0</v>
      </c>
      <c r="O605" s="379">
        <f t="shared" si="829"/>
        <v>0</v>
      </c>
      <c r="P605" s="379">
        <f t="shared" si="829"/>
        <v>0</v>
      </c>
      <c r="Q605" s="379">
        <f t="shared" si="829"/>
        <v>0</v>
      </c>
      <c r="R605" s="379">
        <f t="shared" si="829"/>
        <v>0</v>
      </c>
      <c r="S605" s="379">
        <f t="shared" si="829"/>
        <v>0</v>
      </c>
      <c r="T605" s="379">
        <f t="shared" si="829"/>
        <v>0</v>
      </c>
      <c r="U605" s="379">
        <f t="shared" si="829"/>
        <v>0</v>
      </c>
      <c r="V605" s="379">
        <f t="shared" si="829"/>
        <v>0</v>
      </c>
      <c r="W605" s="379">
        <f t="shared" si="829"/>
        <v>0</v>
      </c>
      <c r="X605" s="379">
        <f t="shared" si="829"/>
        <v>0</v>
      </c>
      <c r="Y605" s="379">
        <f t="shared" si="829"/>
        <v>0</v>
      </c>
      <c r="Z605" s="379">
        <f t="shared" si="829"/>
        <v>0</v>
      </c>
      <c r="AA605" s="379">
        <f t="shared" si="829"/>
        <v>0</v>
      </c>
      <c r="AB605" s="379">
        <f t="shared" si="829"/>
        <v>0</v>
      </c>
      <c r="AC605" s="379">
        <f t="shared" si="829"/>
        <v>0</v>
      </c>
      <c r="AD605" s="379">
        <f t="shared" si="829"/>
        <v>0</v>
      </c>
      <c r="AE605" s="379">
        <f t="shared" si="829"/>
        <v>0</v>
      </c>
      <c r="AF605" s="379">
        <f t="shared" si="829"/>
        <v>0</v>
      </c>
      <c r="AG605" s="379">
        <f t="shared" si="829"/>
        <v>0</v>
      </c>
      <c r="AH605" s="379">
        <f t="shared" si="829"/>
        <v>0</v>
      </c>
      <c r="AI605" s="379">
        <f t="shared" si="829"/>
        <v>0</v>
      </c>
      <c r="AJ605" s="379">
        <f t="shared" si="829"/>
        <v>0</v>
      </c>
      <c r="AK605" s="379">
        <f t="shared" si="829"/>
        <v>0</v>
      </c>
      <c r="AL605" s="379">
        <f t="shared" si="829"/>
        <v>0</v>
      </c>
      <c r="AM605" s="379">
        <f t="shared" si="829"/>
        <v>0</v>
      </c>
      <c r="AN605" s="490">
        <f t="shared" si="829"/>
        <v>0</v>
      </c>
      <c r="AO605" s="379">
        <f t="shared" si="829"/>
        <v>0</v>
      </c>
      <c r="AP605" s="379">
        <f t="shared" si="829"/>
        <v>0</v>
      </c>
      <c r="AQ605" s="379">
        <f t="shared" si="829"/>
        <v>0</v>
      </c>
      <c r="AR605" s="379">
        <f t="shared" si="829"/>
        <v>0</v>
      </c>
      <c r="AS605" s="379">
        <f t="shared" si="829"/>
        <v>0</v>
      </c>
      <c r="AT605" s="379">
        <f t="shared" si="829"/>
        <v>0</v>
      </c>
      <c r="AU605" s="379">
        <f t="shared" si="829"/>
        <v>0</v>
      </c>
      <c r="AV605" s="379">
        <f t="shared" si="829"/>
        <v>0</v>
      </c>
      <c r="AW605" s="379">
        <f t="shared" si="829"/>
        <v>0</v>
      </c>
      <c r="AX605" s="379">
        <f t="shared" si="829"/>
        <v>0</v>
      </c>
      <c r="AY605" s="379">
        <f t="shared" si="829"/>
        <v>0</v>
      </c>
    </row>
    <row r="606" spans="1:51" x14ac:dyDescent="0.2">
      <c r="A606" s="376"/>
      <c r="B606" s="376"/>
      <c r="C606" s="376" t="s">
        <v>268</v>
      </c>
      <c r="D606" s="376"/>
      <c r="E606" s="488"/>
      <c r="F606" s="384"/>
      <c r="G606" s="379">
        <f t="shared" ref="G606:AY606" si="830">AVERAGE(G596:G601)</f>
        <v>8922.6666666666661</v>
      </c>
      <c r="H606" s="379">
        <f t="shared" si="830"/>
        <v>3636.5</v>
      </c>
      <c r="I606" s="379">
        <f t="shared" si="830"/>
        <v>193.75</v>
      </c>
      <c r="J606" s="379" t="e">
        <f t="shared" si="830"/>
        <v>#DIV/0!</v>
      </c>
      <c r="K606" s="379">
        <f t="shared" si="830"/>
        <v>3365.5</v>
      </c>
      <c r="L606" s="379">
        <f t="shared" si="830"/>
        <v>0</v>
      </c>
      <c r="M606" s="379">
        <f t="shared" si="830"/>
        <v>2442.8333333333335</v>
      </c>
      <c r="N606" s="379">
        <f t="shared" si="830"/>
        <v>0</v>
      </c>
      <c r="O606" s="379">
        <f t="shared" si="830"/>
        <v>0</v>
      </c>
      <c r="P606" s="379">
        <f t="shared" si="830"/>
        <v>0</v>
      </c>
      <c r="Q606" s="379">
        <f t="shared" si="830"/>
        <v>0</v>
      </c>
      <c r="R606" s="379">
        <f t="shared" si="830"/>
        <v>0</v>
      </c>
      <c r="S606" s="379">
        <f t="shared" si="830"/>
        <v>0</v>
      </c>
      <c r="T606" s="379">
        <f t="shared" si="830"/>
        <v>0</v>
      </c>
      <c r="U606" s="379">
        <f t="shared" si="830"/>
        <v>0</v>
      </c>
      <c r="V606" s="379">
        <f t="shared" si="830"/>
        <v>0</v>
      </c>
      <c r="W606" s="379">
        <f t="shared" si="830"/>
        <v>0</v>
      </c>
      <c r="X606" s="379">
        <f t="shared" si="830"/>
        <v>0</v>
      </c>
      <c r="Y606" s="379">
        <f t="shared" si="830"/>
        <v>0</v>
      </c>
      <c r="Z606" s="379">
        <f t="shared" si="830"/>
        <v>0</v>
      </c>
      <c r="AA606" s="379">
        <f t="shared" si="830"/>
        <v>0</v>
      </c>
      <c r="AB606" s="379">
        <f t="shared" si="830"/>
        <v>0</v>
      </c>
      <c r="AC606" s="379">
        <f t="shared" si="830"/>
        <v>0</v>
      </c>
      <c r="AD606" s="379">
        <f t="shared" si="830"/>
        <v>0</v>
      </c>
      <c r="AE606" s="379">
        <f t="shared" si="830"/>
        <v>0</v>
      </c>
      <c r="AF606" s="379">
        <f t="shared" si="830"/>
        <v>0</v>
      </c>
      <c r="AG606" s="379">
        <f t="shared" si="830"/>
        <v>0</v>
      </c>
      <c r="AH606" s="379">
        <f t="shared" si="830"/>
        <v>0</v>
      </c>
      <c r="AI606" s="379">
        <f t="shared" si="830"/>
        <v>0</v>
      </c>
      <c r="AJ606" s="379">
        <f t="shared" si="830"/>
        <v>0</v>
      </c>
      <c r="AK606" s="379">
        <f t="shared" si="830"/>
        <v>0</v>
      </c>
      <c r="AL606" s="379">
        <f t="shared" si="830"/>
        <v>0</v>
      </c>
      <c r="AM606" s="379">
        <f t="shared" si="830"/>
        <v>0</v>
      </c>
      <c r="AN606" s="490">
        <f t="shared" si="830"/>
        <v>0</v>
      </c>
      <c r="AO606" s="379">
        <f t="shared" si="830"/>
        <v>0</v>
      </c>
      <c r="AP606" s="379">
        <f t="shared" si="830"/>
        <v>0</v>
      </c>
      <c r="AQ606" s="379">
        <f t="shared" si="830"/>
        <v>0</v>
      </c>
      <c r="AR606" s="379">
        <f t="shared" si="830"/>
        <v>0</v>
      </c>
      <c r="AS606" s="379">
        <f t="shared" si="830"/>
        <v>0</v>
      </c>
      <c r="AT606" s="379">
        <f t="shared" si="830"/>
        <v>0</v>
      </c>
      <c r="AU606" s="379">
        <f t="shared" si="830"/>
        <v>0</v>
      </c>
      <c r="AV606" s="379">
        <f t="shared" si="830"/>
        <v>0</v>
      </c>
      <c r="AW606" s="379">
        <f t="shared" si="830"/>
        <v>0</v>
      </c>
      <c r="AX606" s="379">
        <f t="shared" si="830"/>
        <v>0</v>
      </c>
      <c r="AY606" s="379">
        <f t="shared" si="830"/>
        <v>0</v>
      </c>
    </row>
    <row r="607" spans="1:51" ht="13.5" thickBot="1" x14ac:dyDescent="0.25">
      <c r="A607" s="386"/>
      <c r="B607" s="386"/>
      <c r="C607" s="386" t="s">
        <v>269</v>
      </c>
      <c r="D607" s="386"/>
      <c r="E607" s="491"/>
      <c r="F607" s="384"/>
      <c r="G607" s="388">
        <f t="shared" ref="G607:AY607" si="831">MEDIAN(G596:G601)</f>
        <v>4991.5</v>
      </c>
      <c r="H607" s="388">
        <f t="shared" si="831"/>
        <v>2585</v>
      </c>
      <c r="I607" s="388">
        <f t="shared" si="831"/>
        <v>214.5</v>
      </c>
      <c r="J607" s="388" t="e">
        <f t="shared" si="831"/>
        <v>#NUM!</v>
      </c>
      <c r="K607" s="388">
        <f t="shared" si="831"/>
        <v>2253.5</v>
      </c>
      <c r="L607" s="388">
        <f t="shared" si="831"/>
        <v>0</v>
      </c>
      <c r="M607" s="388">
        <f t="shared" si="831"/>
        <v>906</v>
      </c>
      <c r="N607" s="388">
        <f t="shared" si="831"/>
        <v>0</v>
      </c>
      <c r="O607" s="388">
        <f t="shared" si="831"/>
        <v>0</v>
      </c>
      <c r="P607" s="388">
        <f t="shared" si="831"/>
        <v>0</v>
      </c>
      <c r="Q607" s="388">
        <f t="shared" si="831"/>
        <v>0</v>
      </c>
      <c r="R607" s="388">
        <f t="shared" si="831"/>
        <v>0</v>
      </c>
      <c r="S607" s="388">
        <f t="shared" si="831"/>
        <v>0</v>
      </c>
      <c r="T607" s="388">
        <f t="shared" si="831"/>
        <v>0</v>
      </c>
      <c r="U607" s="388">
        <f t="shared" si="831"/>
        <v>0</v>
      </c>
      <c r="V607" s="388">
        <f t="shared" si="831"/>
        <v>0</v>
      </c>
      <c r="W607" s="388">
        <f t="shared" si="831"/>
        <v>0</v>
      </c>
      <c r="X607" s="388">
        <f t="shared" si="831"/>
        <v>0</v>
      </c>
      <c r="Y607" s="388">
        <f t="shared" si="831"/>
        <v>0</v>
      </c>
      <c r="Z607" s="388">
        <f t="shared" si="831"/>
        <v>0</v>
      </c>
      <c r="AA607" s="388">
        <f t="shared" si="831"/>
        <v>0</v>
      </c>
      <c r="AB607" s="388">
        <f t="shared" si="831"/>
        <v>0</v>
      </c>
      <c r="AC607" s="388">
        <f t="shared" si="831"/>
        <v>0</v>
      </c>
      <c r="AD607" s="388">
        <f t="shared" si="831"/>
        <v>0</v>
      </c>
      <c r="AE607" s="388">
        <f t="shared" si="831"/>
        <v>0</v>
      </c>
      <c r="AF607" s="388">
        <f t="shared" si="831"/>
        <v>0</v>
      </c>
      <c r="AG607" s="388">
        <f t="shared" si="831"/>
        <v>0</v>
      </c>
      <c r="AH607" s="388">
        <f t="shared" si="831"/>
        <v>0</v>
      </c>
      <c r="AI607" s="388">
        <f t="shared" si="831"/>
        <v>0</v>
      </c>
      <c r="AJ607" s="388">
        <f t="shared" si="831"/>
        <v>0</v>
      </c>
      <c r="AK607" s="388">
        <f t="shared" si="831"/>
        <v>0</v>
      </c>
      <c r="AL607" s="388">
        <f t="shared" si="831"/>
        <v>0</v>
      </c>
      <c r="AM607" s="388">
        <f t="shared" si="831"/>
        <v>0</v>
      </c>
      <c r="AN607" s="492">
        <f t="shared" si="831"/>
        <v>0</v>
      </c>
      <c r="AO607" s="388">
        <f t="shared" si="831"/>
        <v>0</v>
      </c>
      <c r="AP607" s="388">
        <f t="shared" si="831"/>
        <v>0</v>
      </c>
      <c r="AQ607" s="388">
        <f t="shared" si="831"/>
        <v>0</v>
      </c>
      <c r="AR607" s="388">
        <f t="shared" si="831"/>
        <v>0</v>
      </c>
      <c r="AS607" s="388">
        <f t="shared" si="831"/>
        <v>0</v>
      </c>
      <c r="AT607" s="388">
        <f t="shared" si="831"/>
        <v>0</v>
      </c>
      <c r="AU607" s="388">
        <f t="shared" si="831"/>
        <v>0</v>
      </c>
      <c r="AV607" s="388">
        <f t="shared" si="831"/>
        <v>0</v>
      </c>
      <c r="AW607" s="388">
        <f t="shared" si="831"/>
        <v>0</v>
      </c>
      <c r="AX607" s="388">
        <f t="shared" si="831"/>
        <v>0</v>
      </c>
      <c r="AY607" s="388">
        <f t="shared" si="831"/>
        <v>0</v>
      </c>
    </row>
    <row r="608" spans="1:51" ht="13.5" thickTop="1" x14ac:dyDescent="0.2">
      <c r="B608"/>
      <c r="C608" s="278"/>
      <c r="D608" s="278"/>
      <c r="E608" s="507"/>
    </row>
    <row r="609" spans="1:51" ht="13.5" thickBot="1" x14ac:dyDescent="0.25">
      <c r="A609" s="400"/>
      <c r="B609" s="400"/>
      <c r="C609" s="402" t="s">
        <v>137</v>
      </c>
      <c r="D609" s="402"/>
      <c r="E609" s="503"/>
    </row>
    <row r="610" spans="1:51" ht="13.5" thickTop="1" x14ac:dyDescent="0.2">
      <c r="A610" s="376">
        <v>10550</v>
      </c>
      <c r="B610" s="378" t="str">
        <f t="shared" ref="B610:B617" si="832">VLOOKUP($A610,$A$5:$L$133,2,FALSE)</f>
        <v>Bega Valley (A)</v>
      </c>
      <c r="C610" s="377" t="str">
        <f t="shared" ref="C610:C617" si="833">VLOOKUP($A610,$A$5:$L$133,3,FALSE)</f>
        <v>CBRJO</v>
      </c>
      <c r="D610" s="503" t="str">
        <f t="shared" ref="D610:D617" si="834">VLOOKUP($A610,$A$5:$L$133,4,FALSE)</f>
        <v>N</v>
      </c>
      <c r="E610" s="503"/>
      <c r="F610"/>
      <c r="G610" s="379">
        <f t="shared" ref="G610:G617" si="835">VLOOKUP($A610,$A$5:$AY$132,7,FALSE)</f>
        <v>33662</v>
      </c>
      <c r="H610" s="379">
        <f t="shared" ref="H610:H617" si="836">VLOOKUP($A610,$A$5:$AY$132,8,FALSE)</f>
        <v>17457</v>
      </c>
      <c r="I610" s="379">
        <f t="shared" ref="I610:I617" si="837">VLOOKUP($A610,$A$5:$AY$132,9,FALSE)</f>
        <v>402.5</v>
      </c>
      <c r="J610" s="379" t="str">
        <f t="shared" ref="J610:J617" si="838">VLOOKUP($A610,$A$5:$AY$132,10,FALSE)</f>
        <v>Y</v>
      </c>
      <c r="K610" s="379">
        <f t="shared" ref="K610:K617" si="839">VLOOKUP($A610,$A$5:$AY$132,11,FALSE)</f>
        <v>16100</v>
      </c>
      <c r="L610" s="379">
        <f t="shared" ref="L610:L617" si="840">VLOOKUP($A610,$A$5:$AY$132,12,FALSE)</f>
        <v>0</v>
      </c>
      <c r="M610" s="379">
        <f t="shared" ref="M610:M617" si="841">VLOOKUP($A610,$A$4:$AY$132,13,FALSE)</f>
        <v>16100</v>
      </c>
      <c r="N610" s="379">
        <f t="shared" ref="N610:N617" si="842">VLOOKUP($A610,$A$4:$AY$132,14,FALSE)</f>
        <v>12000</v>
      </c>
      <c r="O610" s="379">
        <f t="shared" ref="O610:O617" si="843">VLOOKUP($A610,$A$4:$AY$132,15,FALSE)</f>
        <v>0</v>
      </c>
      <c r="P610" s="379">
        <f t="shared" ref="P610:P617" si="844">VLOOKUP($A610,$A$4:$AY$132,16,FALSE)</f>
        <v>0</v>
      </c>
      <c r="Q610" s="379" t="str">
        <f t="shared" ref="Q610:Q617" si="845">VLOOKUP($A610,$A$4:$AY$132,17,FALSE)</f>
        <v>Y</v>
      </c>
      <c r="R610" s="379" t="str">
        <f t="shared" ref="R610:R617" si="846">VLOOKUP($A610,$A$4:$AY$132,18,FALSE)</f>
        <v>Merimbula</v>
      </c>
      <c r="S610" s="379" t="str">
        <f t="shared" ref="S610:S617" si="847">VLOOKUP($A610,$A$4:$AY$132,19,FALSE)</f>
        <v>Bermagui</v>
      </c>
      <c r="T610" s="379" t="str">
        <f t="shared" ref="T610:T617" si="848">VLOOKUP($A610,$A$4:$AY$132,20,FALSE)</f>
        <v>Eden</v>
      </c>
      <c r="U610" s="379" t="str">
        <f t="shared" ref="U610:U617" si="849">VLOOKUP($A610,$A$4:$AY$132,21,FALSE)</f>
        <v>Wallagoot</v>
      </c>
      <c r="V610" s="379" t="str">
        <f t="shared" ref="V610:V617" si="850">VLOOKUP($A610,$A$4:$AY$132,22,FALSE)</f>
        <v>Rural TS</v>
      </c>
      <c r="W610" s="379">
        <f t="shared" ref="W610:W617" si="851">VLOOKUP($A610,$A$4:$AY$132,23,FALSE)</f>
        <v>0</v>
      </c>
      <c r="X610" s="379">
        <f t="shared" ref="X610:X617" si="852">VLOOKUP($A610,$A$4:$AY$132,24,FALSE)</f>
        <v>0</v>
      </c>
      <c r="Y610" s="379">
        <f t="shared" ref="Y610:Y617" si="853">VLOOKUP($A610,$A$4:$AY$132,25,FALSE)</f>
        <v>0</v>
      </c>
      <c r="Z610" s="379">
        <f t="shared" ref="Z610:Z617" si="854">VLOOKUP($A610,$A$4:$AY$132,26,FALSE)</f>
        <v>0</v>
      </c>
      <c r="AA610" s="379">
        <f t="shared" ref="AA610:AA617" si="855">VLOOKUP($A610,$A$4:$AY$132,27,FALSE)</f>
        <v>0</v>
      </c>
      <c r="AB610" s="379">
        <f t="shared" ref="AB610:AB617" si="856">VLOOKUP($A610,$A$4:$AY$132,28,FALSE)</f>
        <v>0</v>
      </c>
      <c r="AC610" s="379">
        <f t="shared" ref="AC610:AC617" si="857">VLOOKUP($A610,$A$4:$AY$132,29,FALSE)</f>
        <v>0</v>
      </c>
      <c r="AD610" s="379">
        <f t="shared" ref="AD610:AD617" si="858">VLOOKUP($A610,$A$4:$AY$132,30,FALSE)</f>
        <v>0</v>
      </c>
      <c r="AE610" s="379">
        <f t="shared" ref="AE610:AE617" si="859">VLOOKUP($A610,$A$4:$AY$132,31,FALSE)</f>
        <v>0</v>
      </c>
      <c r="AF610" s="379">
        <f t="shared" ref="AF610:AF617" si="860">VLOOKUP($A610,$A$4:$AY$132,32,FALSE)</f>
        <v>0</v>
      </c>
      <c r="AG610" s="379">
        <f t="shared" ref="AG610:AG617" si="861">VLOOKUP($A610,$A$4:$AY$132,33,FALSE)</f>
        <v>0</v>
      </c>
      <c r="AH610" s="379">
        <f t="shared" ref="AH610:AH617" si="862">VLOOKUP($A610,$A$4:$AY$132,34,FALSE)</f>
        <v>0</v>
      </c>
      <c r="AI610" s="379">
        <f t="shared" ref="AI610:AI617" si="863">VLOOKUP($A610,$A$4:$AY$132,35,FALSE)</f>
        <v>0</v>
      </c>
      <c r="AJ610" s="379">
        <f t="shared" ref="AJ610:AJ617" si="864">VLOOKUP($A610,$A$4:$AY$132,36,FALSE)</f>
        <v>0</v>
      </c>
      <c r="AK610" s="379">
        <f t="shared" ref="AK610:AK617" si="865">VLOOKUP($A610,$A$4:$AY$132,37,FALSE)</f>
        <v>0</v>
      </c>
      <c r="AL610" s="379">
        <f t="shared" ref="AL610:AL617" si="866">VLOOKUP($A610,$A$4:$AY$132,38,FALSE)</f>
        <v>0</v>
      </c>
      <c r="AM610" s="379">
        <f t="shared" ref="AM610:AM617" si="867">VLOOKUP($A610,$A$4:$AY$132,39,FALSE)</f>
        <v>0</v>
      </c>
      <c r="AN610" s="490">
        <f t="shared" ref="AN610:AN617" si="868">VLOOKUP($A610,$A$4:$AY$132,40,FALSE)</f>
        <v>0</v>
      </c>
      <c r="AO610" s="379">
        <f t="shared" ref="AO610:AO617" si="869">VLOOKUP($A610,$A$4:$AY$132,41,FALSE)</f>
        <v>0</v>
      </c>
      <c r="AP610" s="379">
        <f t="shared" ref="AP610:AP617" si="870">VLOOKUP($A610,$A$4:$AY$132,42,FALSE)</f>
        <v>0</v>
      </c>
      <c r="AQ610" s="379">
        <f t="shared" ref="AQ610:AQ617" si="871">VLOOKUP($A610,$A$4:$AY$132,43,FALSE)</f>
        <v>0</v>
      </c>
      <c r="AR610" s="379">
        <f t="shared" ref="AR610:AR617" si="872">VLOOKUP($A610,$A$4:$AY$132,44,FALSE)</f>
        <v>0</v>
      </c>
      <c r="AS610" s="379">
        <f t="shared" ref="AS610:AS617" si="873">VLOOKUP($A610,$A$4:$AY$132,45,FALSE)</f>
        <v>0</v>
      </c>
      <c r="AT610" s="379">
        <f t="shared" ref="AT610:AT617" si="874">VLOOKUP($A610,$A$4:$AY$132,46,FALSE)</f>
        <v>0</v>
      </c>
      <c r="AU610" s="379">
        <f t="shared" ref="AU610:AU617" si="875">VLOOKUP($A610,$A$4:$AY$132,47,FALSE)</f>
        <v>0</v>
      </c>
      <c r="AV610" s="379">
        <f t="shared" ref="AV610:AV617" si="876">VLOOKUP($A610,$A$4:$AY$132,48,FALSE)</f>
        <v>0</v>
      </c>
      <c r="AW610" s="379">
        <f t="shared" ref="AW610:AW617" si="877">VLOOKUP($A610,$A$4:$AY$132,49,FALSE)</f>
        <v>0</v>
      </c>
      <c r="AX610" s="379">
        <f t="shared" ref="AX610:AX617" si="878">VLOOKUP($A610,$A$4:$AY$132,50,FALSE)</f>
        <v>0</v>
      </c>
      <c r="AY610" s="379">
        <f t="shared" ref="AY610:AY617" si="879">VLOOKUP($A610,$A$4:$AY$132,51,FALSE)</f>
        <v>0</v>
      </c>
    </row>
    <row r="611" spans="1:51" x14ac:dyDescent="0.2">
      <c r="A611" s="376">
        <v>12750</v>
      </c>
      <c r="B611" s="378" t="str">
        <f t="shared" si="832"/>
        <v>Eurobodalla (A)</v>
      </c>
      <c r="C611" s="377" t="str">
        <f t="shared" si="833"/>
        <v>CBRJO</v>
      </c>
      <c r="D611" s="503" t="str">
        <f t="shared" si="834"/>
        <v>N</v>
      </c>
      <c r="E611" s="503"/>
      <c r="F611"/>
      <c r="G611" s="379">
        <f t="shared" si="835"/>
        <v>38119</v>
      </c>
      <c r="H611" s="379">
        <f t="shared" si="836"/>
        <v>23556</v>
      </c>
      <c r="I611" s="379">
        <f t="shared" si="837"/>
        <v>302.3</v>
      </c>
      <c r="J611" s="379" t="str">
        <f t="shared" si="838"/>
        <v>Y</v>
      </c>
      <c r="K611" s="379">
        <f t="shared" si="839"/>
        <v>22022</v>
      </c>
      <c r="L611" s="379">
        <f t="shared" si="840"/>
        <v>0</v>
      </c>
      <c r="M611" s="379">
        <f t="shared" si="841"/>
        <v>22138</v>
      </c>
      <c r="N611" s="379">
        <f t="shared" si="842"/>
        <v>21395</v>
      </c>
      <c r="O611" s="379">
        <f t="shared" si="843"/>
        <v>0</v>
      </c>
      <c r="P611" s="379" t="str">
        <f t="shared" si="844"/>
        <v>Y</v>
      </c>
      <c r="Q611" s="379" t="str">
        <f t="shared" si="845"/>
        <v>Y</v>
      </c>
      <c r="R611" s="379" t="str">
        <f t="shared" si="846"/>
        <v>Brou WMF</v>
      </c>
      <c r="S611" s="379" t="str">
        <f t="shared" si="847"/>
        <v>Surf Beach WMF</v>
      </c>
      <c r="T611" s="379" t="str">
        <f t="shared" si="848"/>
        <v>Moruya Transfer Station</v>
      </c>
      <c r="U611" s="379">
        <f t="shared" si="849"/>
        <v>0</v>
      </c>
      <c r="V611" s="379">
        <f t="shared" si="850"/>
        <v>0</v>
      </c>
      <c r="W611" s="379">
        <f t="shared" si="851"/>
        <v>0</v>
      </c>
      <c r="X611" s="379">
        <f t="shared" si="852"/>
        <v>0</v>
      </c>
      <c r="Y611" s="379">
        <f t="shared" si="853"/>
        <v>0</v>
      </c>
      <c r="Z611" s="379">
        <f t="shared" si="854"/>
        <v>0</v>
      </c>
      <c r="AA611" s="379">
        <f t="shared" si="855"/>
        <v>0</v>
      </c>
      <c r="AB611" s="379">
        <f t="shared" si="856"/>
        <v>0</v>
      </c>
      <c r="AC611" s="379">
        <f t="shared" si="857"/>
        <v>0</v>
      </c>
      <c r="AD611" s="379">
        <f t="shared" si="858"/>
        <v>0</v>
      </c>
      <c r="AE611" s="379">
        <f t="shared" si="859"/>
        <v>0</v>
      </c>
      <c r="AF611" s="379">
        <f t="shared" si="860"/>
        <v>0</v>
      </c>
      <c r="AG611" s="379">
        <f t="shared" si="861"/>
        <v>0</v>
      </c>
      <c r="AH611" s="379">
        <f t="shared" si="862"/>
        <v>0</v>
      </c>
      <c r="AI611" s="379">
        <f t="shared" si="863"/>
        <v>0</v>
      </c>
      <c r="AJ611" s="379">
        <f t="shared" si="864"/>
        <v>0</v>
      </c>
      <c r="AK611" s="379">
        <f t="shared" si="865"/>
        <v>0</v>
      </c>
      <c r="AL611" s="379">
        <f t="shared" si="866"/>
        <v>0</v>
      </c>
      <c r="AM611" s="379">
        <f t="shared" si="867"/>
        <v>0</v>
      </c>
      <c r="AN611" s="490">
        <f t="shared" si="868"/>
        <v>0</v>
      </c>
      <c r="AO611" s="379">
        <f t="shared" si="869"/>
        <v>0</v>
      </c>
      <c r="AP611" s="379">
        <f t="shared" si="870"/>
        <v>0</v>
      </c>
      <c r="AQ611" s="379">
        <f t="shared" si="871"/>
        <v>0</v>
      </c>
      <c r="AR611" s="379">
        <f t="shared" si="872"/>
        <v>0</v>
      </c>
      <c r="AS611" s="379">
        <f t="shared" si="873"/>
        <v>0</v>
      </c>
      <c r="AT611" s="379">
        <f t="shared" si="874"/>
        <v>0</v>
      </c>
      <c r="AU611" s="379">
        <f t="shared" si="875"/>
        <v>0</v>
      </c>
      <c r="AV611" s="379">
        <f t="shared" si="876"/>
        <v>0</v>
      </c>
      <c r="AW611" s="379">
        <f t="shared" si="877"/>
        <v>0</v>
      </c>
      <c r="AX611" s="379">
        <f t="shared" si="878"/>
        <v>0</v>
      </c>
      <c r="AY611" s="379">
        <f t="shared" si="879"/>
        <v>0</v>
      </c>
    </row>
    <row r="612" spans="1:51" x14ac:dyDescent="0.2">
      <c r="A612" s="376">
        <v>13310</v>
      </c>
      <c r="B612" s="378" t="str">
        <f t="shared" si="832"/>
        <v>Goulburn Mulwaree (A)</v>
      </c>
      <c r="C612" s="377" t="str">
        <f t="shared" si="833"/>
        <v>CBRJO</v>
      </c>
      <c r="D612" s="503" t="str">
        <f t="shared" si="834"/>
        <v>N</v>
      </c>
      <c r="E612" s="503"/>
      <c r="F612"/>
      <c r="G612" s="379">
        <f t="shared" si="835"/>
        <v>29918</v>
      </c>
      <c r="H612" s="379">
        <f t="shared" si="836"/>
        <v>14019</v>
      </c>
      <c r="I612" s="379">
        <f t="shared" si="837"/>
        <v>287</v>
      </c>
      <c r="J612" s="379" t="str">
        <f t="shared" si="838"/>
        <v>Y</v>
      </c>
      <c r="K612" s="379">
        <f t="shared" si="839"/>
        <v>10750</v>
      </c>
      <c r="L612" s="379">
        <f t="shared" si="840"/>
        <v>0</v>
      </c>
      <c r="M612" s="379">
        <f t="shared" si="841"/>
        <v>10771</v>
      </c>
      <c r="N612" s="379">
        <f t="shared" si="842"/>
        <v>0</v>
      </c>
      <c r="O612" s="379">
        <f t="shared" si="843"/>
        <v>4297</v>
      </c>
      <c r="P612" s="379" t="str">
        <f t="shared" si="844"/>
        <v>Y</v>
      </c>
      <c r="Q612" s="379" t="str">
        <f t="shared" si="845"/>
        <v>Y</v>
      </c>
      <c r="R612" s="379" t="str">
        <f t="shared" si="846"/>
        <v>Goulburn Waste Management Centre</v>
      </c>
      <c r="S612" s="379" t="str">
        <f t="shared" si="847"/>
        <v>Marulan Waste Management Centre</v>
      </c>
      <c r="T612" s="379" t="str">
        <f t="shared" si="848"/>
        <v>Tarago Waste Management Centre</v>
      </c>
      <c r="U612" s="379">
        <f t="shared" si="849"/>
        <v>0</v>
      </c>
      <c r="V612" s="379">
        <f t="shared" si="850"/>
        <v>0</v>
      </c>
      <c r="W612" s="379">
        <f t="shared" si="851"/>
        <v>0</v>
      </c>
      <c r="X612" s="379">
        <f t="shared" si="852"/>
        <v>0</v>
      </c>
      <c r="Y612" s="379">
        <f t="shared" si="853"/>
        <v>0</v>
      </c>
      <c r="Z612" s="379">
        <f t="shared" si="854"/>
        <v>0</v>
      </c>
      <c r="AA612" s="379">
        <f t="shared" si="855"/>
        <v>0</v>
      </c>
      <c r="AB612" s="379">
        <f t="shared" si="856"/>
        <v>0</v>
      </c>
      <c r="AC612" s="379">
        <f t="shared" si="857"/>
        <v>0</v>
      </c>
      <c r="AD612" s="379">
        <f t="shared" si="858"/>
        <v>0</v>
      </c>
      <c r="AE612" s="379">
        <f t="shared" si="859"/>
        <v>0</v>
      </c>
      <c r="AF612" s="379">
        <f t="shared" si="860"/>
        <v>0</v>
      </c>
      <c r="AG612" s="379">
        <f t="shared" si="861"/>
        <v>0</v>
      </c>
      <c r="AH612" s="379">
        <f t="shared" si="862"/>
        <v>0</v>
      </c>
      <c r="AI612" s="379">
        <f t="shared" si="863"/>
        <v>0</v>
      </c>
      <c r="AJ612" s="379">
        <f t="shared" si="864"/>
        <v>0</v>
      </c>
      <c r="AK612" s="379">
        <f t="shared" si="865"/>
        <v>0</v>
      </c>
      <c r="AL612" s="379">
        <f t="shared" si="866"/>
        <v>0</v>
      </c>
      <c r="AM612" s="379">
        <f t="shared" si="867"/>
        <v>0</v>
      </c>
      <c r="AN612" s="490">
        <f t="shared" si="868"/>
        <v>0</v>
      </c>
      <c r="AO612" s="379">
        <f t="shared" si="869"/>
        <v>0</v>
      </c>
      <c r="AP612" s="379">
        <f t="shared" si="870"/>
        <v>0</v>
      </c>
      <c r="AQ612" s="379">
        <f t="shared" si="871"/>
        <v>0</v>
      </c>
      <c r="AR612" s="379">
        <f t="shared" si="872"/>
        <v>0</v>
      </c>
      <c r="AS612" s="379">
        <f t="shared" si="873"/>
        <v>0</v>
      </c>
      <c r="AT612" s="379">
        <f t="shared" si="874"/>
        <v>0</v>
      </c>
      <c r="AU612" s="379">
        <f t="shared" si="875"/>
        <v>0</v>
      </c>
      <c r="AV612" s="379">
        <f t="shared" si="876"/>
        <v>0</v>
      </c>
      <c r="AW612" s="379">
        <f t="shared" si="877"/>
        <v>0</v>
      </c>
      <c r="AX612" s="379">
        <f t="shared" si="878"/>
        <v>0</v>
      </c>
      <c r="AY612" s="379">
        <f t="shared" si="879"/>
        <v>0</v>
      </c>
    </row>
    <row r="613" spans="1:51" x14ac:dyDescent="0.2">
      <c r="A613" s="376">
        <v>13910</v>
      </c>
      <c r="B613" s="378" t="str">
        <f t="shared" si="832"/>
        <v>Hilltops (A)</v>
      </c>
      <c r="C613" s="377" t="str">
        <f t="shared" si="833"/>
        <v>CBRJO</v>
      </c>
      <c r="D613" s="503" t="str">
        <f t="shared" si="834"/>
        <v>N</v>
      </c>
      <c r="E613" s="503"/>
      <c r="F613"/>
      <c r="G613" s="379">
        <f t="shared" si="835"/>
        <v>18993</v>
      </c>
      <c r="H613" s="379">
        <f t="shared" si="836"/>
        <v>11024</v>
      </c>
      <c r="I613" s="379">
        <f t="shared" si="837"/>
        <v>382.5</v>
      </c>
      <c r="J613" s="379" t="str">
        <f t="shared" si="838"/>
        <v>Y</v>
      </c>
      <c r="K613" s="379">
        <f t="shared" si="839"/>
        <v>5343</v>
      </c>
      <c r="L613" s="379">
        <f t="shared" si="840"/>
        <v>0</v>
      </c>
      <c r="M613" s="379">
        <f t="shared" si="841"/>
        <v>5273</v>
      </c>
      <c r="N613" s="379">
        <f t="shared" si="842"/>
        <v>3577</v>
      </c>
      <c r="O613" s="379">
        <f t="shared" si="843"/>
        <v>987</v>
      </c>
      <c r="P613" s="379">
        <f t="shared" si="844"/>
        <v>0</v>
      </c>
      <c r="Q613" s="379" t="str">
        <f t="shared" si="845"/>
        <v>Y</v>
      </c>
      <c r="R613" s="379" t="str">
        <f t="shared" si="846"/>
        <v>Victoria Street</v>
      </c>
      <c r="S613" s="379" t="str">
        <f t="shared" si="847"/>
        <v>Redhill Road</v>
      </c>
      <c r="T613" s="379" t="str">
        <f t="shared" si="848"/>
        <v>Boorowa Landfill</v>
      </c>
      <c r="U613" s="379" t="str">
        <f t="shared" si="849"/>
        <v>Harden WTS</v>
      </c>
      <c r="V613" s="379" t="str">
        <f t="shared" si="850"/>
        <v>Koorawatha</v>
      </c>
      <c r="W613" s="379" t="str">
        <f t="shared" si="851"/>
        <v>Other Facilities</v>
      </c>
      <c r="X613" s="379">
        <f t="shared" si="852"/>
        <v>0</v>
      </c>
      <c r="Y613" s="379">
        <f t="shared" si="853"/>
        <v>0</v>
      </c>
      <c r="Z613" s="379">
        <f t="shared" si="854"/>
        <v>0</v>
      </c>
      <c r="AA613" s="379">
        <f t="shared" si="855"/>
        <v>0</v>
      </c>
      <c r="AB613" s="379">
        <f t="shared" si="856"/>
        <v>0</v>
      </c>
      <c r="AC613" s="379">
        <f t="shared" si="857"/>
        <v>0</v>
      </c>
      <c r="AD613" s="379">
        <f t="shared" si="858"/>
        <v>0</v>
      </c>
      <c r="AE613" s="379">
        <f t="shared" si="859"/>
        <v>0</v>
      </c>
      <c r="AF613" s="379">
        <f t="shared" si="860"/>
        <v>0</v>
      </c>
      <c r="AG613" s="379">
        <f t="shared" si="861"/>
        <v>0</v>
      </c>
      <c r="AH613" s="379">
        <f t="shared" si="862"/>
        <v>0</v>
      </c>
      <c r="AI613" s="379">
        <f t="shared" si="863"/>
        <v>0</v>
      </c>
      <c r="AJ613" s="379">
        <f t="shared" si="864"/>
        <v>0</v>
      </c>
      <c r="AK613" s="379">
        <f t="shared" si="865"/>
        <v>0</v>
      </c>
      <c r="AL613" s="379">
        <f t="shared" si="866"/>
        <v>0</v>
      </c>
      <c r="AM613" s="379">
        <f t="shared" si="867"/>
        <v>0</v>
      </c>
      <c r="AN613" s="490">
        <f t="shared" si="868"/>
        <v>0</v>
      </c>
      <c r="AO613" s="379">
        <f t="shared" si="869"/>
        <v>0</v>
      </c>
      <c r="AP613" s="379">
        <f t="shared" si="870"/>
        <v>0</v>
      </c>
      <c r="AQ613" s="379">
        <f t="shared" si="871"/>
        <v>0</v>
      </c>
      <c r="AR613" s="379">
        <f t="shared" si="872"/>
        <v>0</v>
      </c>
      <c r="AS613" s="379">
        <f t="shared" si="873"/>
        <v>0</v>
      </c>
      <c r="AT613" s="379">
        <f t="shared" si="874"/>
        <v>0</v>
      </c>
      <c r="AU613" s="379">
        <f t="shared" si="875"/>
        <v>0</v>
      </c>
      <c r="AV613" s="379">
        <f t="shared" si="876"/>
        <v>0</v>
      </c>
      <c r="AW613" s="379">
        <f t="shared" si="877"/>
        <v>0</v>
      </c>
      <c r="AX613" s="379">
        <f t="shared" si="878"/>
        <v>0</v>
      </c>
      <c r="AY613" s="379">
        <f t="shared" si="879"/>
        <v>0</v>
      </c>
    </row>
    <row r="614" spans="1:51" x14ac:dyDescent="0.2">
      <c r="A614" s="376">
        <v>16490</v>
      </c>
      <c r="B614" s="378" t="str">
        <f t="shared" si="832"/>
        <v>Queanbeyan-Palerang Regional (A)</v>
      </c>
      <c r="C614" s="377" t="str">
        <f t="shared" si="833"/>
        <v>CBRJO</v>
      </c>
      <c r="D614" s="503" t="str">
        <f t="shared" si="834"/>
        <v>N</v>
      </c>
      <c r="E614" s="503"/>
      <c r="F614"/>
      <c r="G614" s="379">
        <f t="shared" si="835"/>
        <v>57334</v>
      </c>
      <c r="H614" s="379">
        <f t="shared" si="836"/>
        <v>24271</v>
      </c>
      <c r="I614" s="379">
        <f t="shared" si="837"/>
        <v>300</v>
      </c>
      <c r="J614" s="379" t="str">
        <f t="shared" si="838"/>
        <v>Y</v>
      </c>
      <c r="K614" s="379">
        <f t="shared" si="839"/>
        <v>19728</v>
      </c>
      <c r="L614" s="379">
        <f t="shared" si="840"/>
        <v>0</v>
      </c>
      <c r="M614" s="379">
        <f t="shared" si="841"/>
        <v>21709</v>
      </c>
      <c r="N614" s="379">
        <f t="shared" si="842"/>
        <v>13947</v>
      </c>
      <c r="O614" s="379">
        <f t="shared" si="843"/>
        <v>2082</v>
      </c>
      <c r="P614" s="379" t="str">
        <f t="shared" si="844"/>
        <v>Y</v>
      </c>
      <c r="Q614" s="379" t="str">
        <f t="shared" si="845"/>
        <v>Y</v>
      </c>
      <c r="R614" s="379" t="str">
        <f t="shared" si="846"/>
        <v>Waste Minimisation Centre</v>
      </c>
      <c r="S614" s="379" t="str">
        <f t="shared" si="847"/>
        <v>Bungendore Resource Recovery Centre</v>
      </c>
      <c r="T614" s="379" t="str">
        <f t="shared" si="848"/>
        <v>Macs Reef Waste Transfer Station</v>
      </c>
      <c r="U614" s="379" t="str">
        <f t="shared" si="849"/>
        <v>Braidwood Landfill</v>
      </c>
      <c r="V614" s="379" t="str">
        <f t="shared" si="850"/>
        <v>Captains Flat Waste Transfer Station</v>
      </c>
      <c r="W614" s="379" t="str">
        <f t="shared" si="851"/>
        <v>Nerriga Landfill</v>
      </c>
      <c r="X614" s="379">
        <f t="shared" si="852"/>
        <v>0</v>
      </c>
      <c r="Y614" s="379">
        <f t="shared" si="853"/>
        <v>0</v>
      </c>
      <c r="Z614" s="379">
        <f t="shared" si="854"/>
        <v>0</v>
      </c>
      <c r="AA614" s="379">
        <f t="shared" si="855"/>
        <v>0</v>
      </c>
      <c r="AB614" s="379">
        <f t="shared" si="856"/>
        <v>0</v>
      </c>
      <c r="AC614" s="379">
        <f t="shared" si="857"/>
        <v>0</v>
      </c>
      <c r="AD614" s="379">
        <f t="shared" si="858"/>
        <v>0</v>
      </c>
      <c r="AE614" s="379">
        <f t="shared" si="859"/>
        <v>0</v>
      </c>
      <c r="AF614" s="379">
        <f t="shared" si="860"/>
        <v>0</v>
      </c>
      <c r="AG614" s="379">
        <f t="shared" si="861"/>
        <v>0</v>
      </c>
      <c r="AH614" s="379">
        <f t="shared" si="862"/>
        <v>0</v>
      </c>
      <c r="AI614" s="379">
        <f t="shared" si="863"/>
        <v>0</v>
      </c>
      <c r="AJ614" s="379">
        <f t="shared" si="864"/>
        <v>0</v>
      </c>
      <c r="AK614" s="379">
        <f t="shared" si="865"/>
        <v>0</v>
      </c>
      <c r="AL614" s="379">
        <f t="shared" si="866"/>
        <v>0</v>
      </c>
      <c r="AM614" s="379">
        <f t="shared" si="867"/>
        <v>0</v>
      </c>
      <c r="AN614" s="490">
        <f t="shared" si="868"/>
        <v>0</v>
      </c>
      <c r="AO614" s="379">
        <f t="shared" si="869"/>
        <v>0</v>
      </c>
      <c r="AP614" s="379">
        <f t="shared" si="870"/>
        <v>0</v>
      </c>
      <c r="AQ614" s="379">
        <f t="shared" si="871"/>
        <v>0</v>
      </c>
      <c r="AR614" s="379">
        <f t="shared" si="872"/>
        <v>0</v>
      </c>
      <c r="AS614" s="379">
        <f t="shared" si="873"/>
        <v>0</v>
      </c>
      <c r="AT614" s="379">
        <f t="shared" si="874"/>
        <v>0</v>
      </c>
      <c r="AU614" s="379">
        <f t="shared" si="875"/>
        <v>0</v>
      </c>
      <c r="AV614" s="379">
        <f t="shared" si="876"/>
        <v>0</v>
      </c>
      <c r="AW614" s="379">
        <f t="shared" si="877"/>
        <v>0</v>
      </c>
      <c r="AX614" s="379">
        <f t="shared" si="878"/>
        <v>0</v>
      </c>
      <c r="AY614" s="379">
        <f t="shared" si="879"/>
        <v>0</v>
      </c>
    </row>
    <row r="615" spans="1:51" x14ac:dyDescent="0.2">
      <c r="A615" s="376">
        <v>17040</v>
      </c>
      <c r="B615" s="378" t="str">
        <f t="shared" si="832"/>
        <v>Snowy Monaro Regional (A)</v>
      </c>
      <c r="C615" s="377" t="str">
        <f t="shared" si="833"/>
        <v>CBRJO</v>
      </c>
      <c r="D615" s="503" t="str">
        <f t="shared" si="834"/>
        <v>N</v>
      </c>
      <c r="E615" s="503"/>
      <c r="F615"/>
      <c r="G615" s="379">
        <f t="shared" si="835"/>
        <v>20880</v>
      </c>
      <c r="H615" s="379">
        <f t="shared" si="836"/>
        <v>8432</v>
      </c>
      <c r="I615" s="379">
        <f t="shared" si="837"/>
        <v>339</v>
      </c>
      <c r="J615" s="379" t="str">
        <f t="shared" si="838"/>
        <v>Y</v>
      </c>
      <c r="K615" s="379">
        <f t="shared" si="839"/>
        <v>4204</v>
      </c>
      <c r="L615" s="379">
        <f t="shared" si="840"/>
        <v>0</v>
      </c>
      <c r="M615" s="379">
        <f t="shared" si="841"/>
        <v>7364</v>
      </c>
      <c r="N615" s="379">
        <f t="shared" si="842"/>
        <v>0</v>
      </c>
      <c r="O615" s="379">
        <f t="shared" si="843"/>
        <v>3100</v>
      </c>
      <c r="P615" s="379">
        <f t="shared" si="844"/>
        <v>0</v>
      </c>
      <c r="Q615" s="379" t="str">
        <f t="shared" si="845"/>
        <v>Y</v>
      </c>
      <c r="R615" s="379" t="str">
        <f t="shared" si="846"/>
        <v>Bombala Waste Depot</v>
      </c>
      <c r="S615" s="379" t="str">
        <f t="shared" si="847"/>
        <v>Delegate Waste Depot</v>
      </c>
      <c r="T615" s="379" t="str">
        <f t="shared" si="848"/>
        <v>Cathcart Transfer Station</v>
      </c>
      <c r="U615" s="379" t="str">
        <f t="shared" si="849"/>
        <v>Jindabyne Regional Was</v>
      </c>
      <c r="V615" s="379" t="str">
        <f t="shared" si="850"/>
        <v>Adaminaby Landfill</v>
      </c>
      <c r="W615" s="379" t="str">
        <f t="shared" si="851"/>
        <v>Berridale Transfer Station</v>
      </c>
      <c r="X615" s="379">
        <f t="shared" si="852"/>
        <v>0</v>
      </c>
      <c r="Y615" s="379">
        <f t="shared" si="853"/>
        <v>0</v>
      </c>
      <c r="Z615" s="379">
        <f t="shared" si="854"/>
        <v>0</v>
      </c>
      <c r="AA615" s="379">
        <f t="shared" si="855"/>
        <v>0</v>
      </c>
      <c r="AB615" s="379">
        <f t="shared" si="856"/>
        <v>0</v>
      </c>
      <c r="AC615" s="379">
        <f t="shared" si="857"/>
        <v>0</v>
      </c>
      <c r="AD615" s="379">
        <f t="shared" si="858"/>
        <v>0</v>
      </c>
      <c r="AE615" s="379">
        <f t="shared" si="859"/>
        <v>0</v>
      </c>
      <c r="AF615" s="379">
        <f t="shared" si="860"/>
        <v>0</v>
      </c>
      <c r="AG615" s="379">
        <f t="shared" si="861"/>
        <v>0</v>
      </c>
      <c r="AH615" s="379">
        <f t="shared" si="862"/>
        <v>0</v>
      </c>
      <c r="AI615" s="379">
        <f t="shared" si="863"/>
        <v>0</v>
      </c>
      <c r="AJ615" s="379">
        <f t="shared" si="864"/>
        <v>0</v>
      </c>
      <c r="AK615" s="379">
        <f t="shared" si="865"/>
        <v>0</v>
      </c>
      <c r="AL615" s="379">
        <f t="shared" si="866"/>
        <v>0</v>
      </c>
      <c r="AM615" s="379">
        <f t="shared" si="867"/>
        <v>0</v>
      </c>
      <c r="AN615" s="490">
        <f t="shared" si="868"/>
        <v>0</v>
      </c>
      <c r="AO615" s="379">
        <f t="shared" si="869"/>
        <v>0</v>
      </c>
      <c r="AP615" s="379">
        <f t="shared" si="870"/>
        <v>0</v>
      </c>
      <c r="AQ615" s="379">
        <f t="shared" si="871"/>
        <v>0</v>
      </c>
      <c r="AR615" s="379">
        <f t="shared" si="872"/>
        <v>0</v>
      </c>
      <c r="AS615" s="379">
        <f t="shared" si="873"/>
        <v>0</v>
      </c>
      <c r="AT615" s="379">
        <f t="shared" si="874"/>
        <v>0</v>
      </c>
      <c r="AU615" s="379">
        <f t="shared" si="875"/>
        <v>0</v>
      </c>
      <c r="AV615" s="379">
        <f t="shared" si="876"/>
        <v>0</v>
      </c>
      <c r="AW615" s="379">
        <f t="shared" si="877"/>
        <v>0</v>
      </c>
      <c r="AX615" s="379">
        <f t="shared" si="878"/>
        <v>0</v>
      </c>
      <c r="AY615" s="379">
        <f t="shared" si="879"/>
        <v>0</v>
      </c>
    </row>
    <row r="616" spans="1:51" x14ac:dyDescent="0.2">
      <c r="A616" s="376">
        <v>17640</v>
      </c>
      <c r="B616" s="378" t="str">
        <f t="shared" si="832"/>
        <v>Upper Lachlan Shire (A)</v>
      </c>
      <c r="C616" s="377" t="str">
        <f t="shared" si="833"/>
        <v>CBRJO</v>
      </c>
      <c r="D616" s="503" t="str">
        <f t="shared" si="834"/>
        <v>N</v>
      </c>
      <c r="E616" s="503"/>
      <c r="F616"/>
      <c r="G616" s="379">
        <f t="shared" si="835"/>
        <v>7794</v>
      </c>
      <c r="H616" s="379">
        <f t="shared" si="836"/>
        <v>2440</v>
      </c>
      <c r="I616" s="379">
        <f t="shared" si="837"/>
        <v>417</v>
      </c>
      <c r="J616" s="379" t="str">
        <f t="shared" si="838"/>
        <v>Y</v>
      </c>
      <c r="K616" s="379">
        <f t="shared" si="839"/>
        <v>1995</v>
      </c>
      <c r="L616" s="379">
        <f t="shared" si="840"/>
        <v>0</v>
      </c>
      <c r="M616" s="379">
        <f t="shared" si="841"/>
        <v>1995</v>
      </c>
      <c r="N616" s="379">
        <f t="shared" si="842"/>
        <v>0</v>
      </c>
      <c r="O616" s="379">
        <f t="shared" si="843"/>
        <v>0</v>
      </c>
      <c r="P616" s="379">
        <f t="shared" si="844"/>
        <v>0</v>
      </c>
      <c r="Q616" s="379" t="str">
        <f t="shared" si="845"/>
        <v>Y</v>
      </c>
      <c r="R616" s="379" t="str">
        <f t="shared" si="846"/>
        <v>Crookwell Landfill</v>
      </c>
      <c r="S616" s="379" t="str">
        <f t="shared" si="847"/>
        <v>Gunning Landfill</v>
      </c>
      <c r="T616" s="379" t="str">
        <f t="shared" si="848"/>
        <v>Taralga Trasnfer Station</v>
      </c>
      <c r="U616" s="379" t="str">
        <f t="shared" si="849"/>
        <v>Collector Transfer Station</v>
      </c>
      <c r="V616" s="379" t="str">
        <f t="shared" si="850"/>
        <v>Bigga Landfill</v>
      </c>
      <c r="W616" s="379" t="str">
        <f t="shared" si="851"/>
        <v>Tuena Landfill</v>
      </c>
      <c r="X616" s="379">
        <f t="shared" si="852"/>
        <v>0</v>
      </c>
      <c r="Y616" s="379">
        <f t="shared" si="853"/>
        <v>0</v>
      </c>
      <c r="Z616" s="379">
        <f t="shared" si="854"/>
        <v>0</v>
      </c>
      <c r="AA616" s="379">
        <f t="shared" si="855"/>
        <v>0</v>
      </c>
      <c r="AB616" s="379">
        <f t="shared" si="856"/>
        <v>0</v>
      </c>
      <c r="AC616" s="379">
        <f t="shared" si="857"/>
        <v>0</v>
      </c>
      <c r="AD616" s="379">
        <f t="shared" si="858"/>
        <v>0</v>
      </c>
      <c r="AE616" s="379">
        <f t="shared" si="859"/>
        <v>0</v>
      </c>
      <c r="AF616" s="379">
        <f t="shared" si="860"/>
        <v>0</v>
      </c>
      <c r="AG616" s="379">
        <f t="shared" si="861"/>
        <v>0</v>
      </c>
      <c r="AH616" s="379">
        <f t="shared" si="862"/>
        <v>0</v>
      </c>
      <c r="AI616" s="379">
        <f t="shared" si="863"/>
        <v>0</v>
      </c>
      <c r="AJ616" s="379">
        <f t="shared" si="864"/>
        <v>0</v>
      </c>
      <c r="AK616" s="379">
        <f t="shared" si="865"/>
        <v>0</v>
      </c>
      <c r="AL616" s="379">
        <f t="shared" si="866"/>
        <v>0</v>
      </c>
      <c r="AM616" s="379">
        <f t="shared" si="867"/>
        <v>0</v>
      </c>
      <c r="AN616" s="490">
        <f t="shared" si="868"/>
        <v>0</v>
      </c>
      <c r="AO616" s="379">
        <f t="shared" si="869"/>
        <v>0</v>
      </c>
      <c r="AP616" s="379">
        <f t="shared" si="870"/>
        <v>0</v>
      </c>
      <c r="AQ616" s="379">
        <f t="shared" si="871"/>
        <v>0</v>
      </c>
      <c r="AR616" s="379">
        <f t="shared" si="872"/>
        <v>0</v>
      </c>
      <c r="AS616" s="379">
        <f t="shared" si="873"/>
        <v>0</v>
      </c>
      <c r="AT616" s="379">
        <f t="shared" si="874"/>
        <v>0</v>
      </c>
      <c r="AU616" s="379">
        <f t="shared" si="875"/>
        <v>0</v>
      </c>
      <c r="AV616" s="379">
        <f t="shared" si="876"/>
        <v>0</v>
      </c>
      <c r="AW616" s="379">
        <f t="shared" si="877"/>
        <v>0</v>
      </c>
      <c r="AX616" s="379">
        <f t="shared" si="878"/>
        <v>0</v>
      </c>
      <c r="AY616" s="379">
        <f t="shared" si="879"/>
        <v>0</v>
      </c>
    </row>
    <row r="617" spans="1:51" ht="13.5" thickBot="1" x14ac:dyDescent="0.25">
      <c r="A617" s="376">
        <v>18710</v>
      </c>
      <c r="B617" s="378" t="str">
        <f t="shared" si="832"/>
        <v>Yass Valley (A)</v>
      </c>
      <c r="C617" s="377" t="str">
        <f t="shared" si="833"/>
        <v>CBRJO</v>
      </c>
      <c r="D617" s="503" t="str">
        <f t="shared" si="834"/>
        <v>N</v>
      </c>
      <c r="E617" s="503"/>
      <c r="F617"/>
      <c r="G617" s="379">
        <f t="shared" si="835"/>
        <v>16870</v>
      </c>
      <c r="H617" s="379">
        <f t="shared" si="836"/>
        <v>4892</v>
      </c>
      <c r="I617" s="379">
        <f t="shared" si="837"/>
        <v>359</v>
      </c>
      <c r="J617" s="379" t="str">
        <f t="shared" si="838"/>
        <v>Y</v>
      </c>
      <c r="K617" s="379">
        <f t="shared" si="839"/>
        <v>3798</v>
      </c>
      <c r="L617" s="379">
        <f t="shared" si="840"/>
        <v>0</v>
      </c>
      <c r="M617" s="379">
        <f t="shared" si="841"/>
        <v>3798</v>
      </c>
      <c r="N617" s="379">
        <f t="shared" si="842"/>
        <v>0</v>
      </c>
      <c r="O617" s="379">
        <f t="shared" si="843"/>
        <v>0</v>
      </c>
      <c r="P617" s="379">
        <f t="shared" si="844"/>
        <v>0</v>
      </c>
      <c r="Q617" s="379" t="str">
        <f t="shared" si="845"/>
        <v>Y</v>
      </c>
      <c r="R617" s="379" t="str">
        <f t="shared" si="846"/>
        <v>Yass Transfer Station</v>
      </c>
      <c r="S617" s="379" t="str">
        <f t="shared" si="847"/>
        <v>Gundaroo Landfill</v>
      </c>
      <c r="T617" s="379" t="str">
        <f t="shared" si="848"/>
        <v>Murrumbateman Transfer Station</v>
      </c>
      <c r="U617" s="379">
        <f t="shared" si="849"/>
        <v>0</v>
      </c>
      <c r="V617" s="379">
        <f t="shared" si="850"/>
        <v>0</v>
      </c>
      <c r="W617" s="379">
        <f t="shared" si="851"/>
        <v>0</v>
      </c>
      <c r="X617" s="379">
        <f t="shared" si="852"/>
        <v>0</v>
      </c>
      <c r="Y617" s="379">
        <f t="shared" si="853"/>
        <v>0</v>
      </c>
      <c r="Z617" s="379">
        <f t="shared" si="854"/>
        <v>0</v>
      </c>
      <c r="AA617" s="379">
        <f t="shared" si="855"/>
        <v>0</v>
      </c>
      <c r="AB617" s="379">
        <f t="shared" si="856"/>
        <v>0</v>
      </c>
      <c r="AC617" s="379">
        <f t="shared" si="857"/>
        <v>0</v>
      </c>
      <c r="AD617" s="379">
        <f t="shared" si="858"/>
        <v>0</v>
      </c>
      <c r="AE617" s="379">
        <f t="shared" si="859"/>
        <v>0</v>
      </c>
      <c r="AF617" s="379">
        <f t="shared" si="860"/>
        <v>0</v>
      </c>
      <c r="AG617" s="379">
        <f t="shared" si="861"/>
        <v>0</v>
      </c>
      <c r="AH617" s="379">
        <f t="shared" si="862"/>
        <v>0</v>
      </c>
      <c r="AI617" s="379">
        <f t="shared" si="863"/>
        <v>0</v>
      </c>
      <c r="AJ617" s="379">
        <f t="shared" si="864"/>
        <v>0</v>
      </c>
      <c r="AK617" s="379">
        <f t="shared" si="865"/>
        <v>0</v>
      </c>
      <c r="AL617" s="379">
        <f t="shared" si="866"/>
        <v>0</v>
      </c>
      <c r="AM617" s="379">
        <f t="shared" si="867"/>
        <v>0</v>
      </c>
      <c r="AN617" s="490">
        <f t="shared" si="868"/>
        <v>0</v>
      </c>
      <c r="AO617" s="379">
        <f t="shared" si="869"/>
        <v>0</v>
      </c>
      <c r="AP617" s="379">
        <f t="shared" si="870"/>
        <v>0</v>
      </c>
      <c r="AQ617" s="379">
        <f t="shared" si="871"/>
        <v>0</v>
      </c>
      <c r="AR617" s="379">
        <f t="shared" si="872"/>
        <v>0</v>
      </c>
      <c r="AS617" s="379">
        <f t="shared" si="873"/>
        <v>0</v>
      </c>
      <c r="AT617" s="379">
        <f t="shared" si="874"/>
        <v>0</v>
      </c>
      <c r="AU617" s="379">
        <f t="shared" si="875"/>
        <v>0</v>
      </c>
      <c r="AV617" s="379">
        <f t="shared" si="876"/>
        <v>0</v>
      </c>
      <c r="AW617" s="379">
        <f t="shared" si="877"/>
        <v>0</v>
      </c>
      <c r="AX617" s="379">
        <f t="shared" si="878"/>
        <v>0</v>
      </c>
      <c r="AY617" s="379">
        <f t="shared" si="879"/>
        <v>0</v>
      </c>
    </row>
    <row r="618" spans="1:51" ht="13.5" thickTop="1" x14ac:dyDescent="0.2">
      <c r="A618" s="380"/>
      <c r="B618" s="380"/>
      <c r="C618" s="380" t="s">
        <v>264</v>
      </c>
      <c r="D618" s="380"/>
      <c r="E618" s="484"/>
      <c r="F618" s="381"/>
      <c r="G618" s="382">
        <f t="shared" ref="G618:AY618" si="880">COUNTIF(G610:G617,"&gt;0")</f>
        <v>8</v>
      </c>
      <c r="H618" s="382">
        <f t="shared" si="880"/>
        <v>8</v>
      </c>
      <c r="I618" s="382">
        <f t="shared" si="880"/>
        <v>8</v>
      </c>
      <c r="J618" s="382">
        <f t="shared" si="880"/>
        <v>0</v>
      </c>
      <c r="K618" s="382">
        <f t="shared" si="880"/>
        <v>8</v>
      </c>
      <c r="L618" s="382">
        <f t="shared" si="880"/>
        <v>0</v>
      </c>
      <c r="M618" s="382">
        <f t="shared" si="880"/>
        <v>8</v>
      </c>
      <c r="N618" s="382">
        <f t="shared" si="880"/>
        <v>4</v>
      </c>
      <c r="O618" s="382">
        <f t="shared" si="880"/>
        <v>4</v>
      </c>
      <c r="P618" s="382">
        <f t="shared" si="880"/>
        <v>0</v>
      </c>
      <c r="Q618" s="382">
        <f t="shared" si="880"/>
        <v>0</v>
      </c>
      <c r="R618" s="382">
        <f t="shared" si="880"/>
        <v>0</v>
      </c>
      <c r="S618" s="382">
        <f t="shared" si="880"/>
        <v>0</v>
      </c>
      <c r="T618" s="382">
        <f t="shared" si="880"/>
        <v>0</v>
      </c>
      <c r="U618" s="382">
        <f t="shared" si="880"/>
        <v>0</v>
      </c>
      <c r="V618" s="382">
        <f t="shared" si="880"/>
        <v>0</v>
      </c>
      <c r="W618" s="382">
        <f t="shared" si="880"/>
        <v>0</v>
      </c>
      <c r="X618" s="382">
        <f t="shared" si="880"/>
        <v>0</v>
      </c>
      <c r="Y618" s="382">
        <f t="shared" si="880"/>
        <v>0</v>
      </c>
      <c r="Z618" s="382">
        <f t="shared" si="880"/>
        <v>0</v>
      </c>
      <c r="AA618" s="382">
        <f t="shared" si="880"/>
        <v>0</v>
      </c>
      <c r="AB618" s="382">
        <f t="shared" si="880"/>
        <v>0</v>
      </c>
      <c r="AC618" s="382">
        <f t="shared" si="880"/>
        <v>0</v>
      </c>
      <c r="AD618" s="382">
        <f t="shared" si="880"/>
        <v>0</v>
      </c>
      <c r="AE618" s="382">
        <f t="shared" si="880"/>
        <v>0</v>
      </c>
      <c r="AF618" s="382">
        <f t="shared" si="880"/>
        <v>0</v>
      </c>
      <c r="AG618" s="382">
        <f t="shared" si="880"/>
        <v>0</v>
      </c>
      <c r="AH618" s="382">
        <f t="shared" si="880"/>
        <v>0</v>
      </c>
      <c r="AI618" s="382">
        <f t="shared" si="880"/>
        <v>0</v>
      </c>
      <c r="AJ618" s="382">
        <f t="shared" si="880"/>
        <v>0</v>
      </c>
      <c r="AK618" s="382">
        <f t="shared" si="880"/>
        <v>0</v>
      </c>
      <c r="AL618" s="382">
        <f t="shared" si="880"/>
        <v>0</v>
      </c>
      <c r="AM618" s="382">
        <f t="shared" si="880"/>
        <v>0</v>
      </c>
      <c r="AN618" s="485">
        <f t="shared" si="880"/>
        <v>0</v>
      </c>
      <c r="AO618" s="382">
        <f t="shared" si="880"/>
        <v>0</v>
      </c>
      <c r="AP618" s="382">
        <f t="shared" si="880"/>
        <v>0</v>
      </c>
      <c r="AQ618" s="382">
        <f t="shared" si="880"/>
        <v>0</v>
      </c>
      <c r="AR618" s="382">
        <f t="shared" si="880"/>
        <v>0</v>
      </c>
      <c r="AS618" s="382">
        <f t="shared" si="880"/>
        <v>0</v>
      </c>
      <c r="AT618" s="382">
        <f t="shared" si="880"/>
        <v>0</v>
      </c>
      <c r="AU618" s="382">
        <f t="shared" si="880"/>
        <v>0</v>
      </c>
      <c r="AV618" s="382">
        <f t="shared" si="880"/>
        <v>0</v>
      </c>
      <c r="AW618" s="382">
        <f t="shared" si="880"/>
        <v>0</v>
      </c>
      <c r="AX618" s="382">
        <f t="shared" si="880"/>
        <v>0</v>
      </c>
      <c r="AY618" s="382">
        <f t="shared" si="880"/>
        <v>0</v>
      </c>
    </row>
    <row r="619" spans="1:51" x14ac:dyDescent="0.2">
      <c r="A619" s="376"/>
      <c r="B619" s="376"/>
      <c r="C619" s="376" t="s">
        <v>265</v>
      </c>
      <c r="D619" s="376"/>
      <c r="E619" s="488"/>
      <c r="F619" s="384"/>
      <c r="G619" s="385">
        <f t="shared" ref="G619:AY619" si="881">SUM(G610:G617)</f>
        <v>223570</v>
      </c>
      <c r="H619" s="385">
        <f t="shared" si="881"/>
        <v>106091</v>
      </c>
      <c r="I619" s="385">
        <f t="shared" si="881"/>
        <v>2789.3</v>
      </c>
      <c r="J619" s="385">
        <f t="shared" si="881"/>
        <v>0</v>
      </c>
      <c r="K619" s="385">
        <f t="shared" si="881"/>
        <v>83940</v>
      </c>
      <c r="L619" s="385">
        <f t="shared" si="881"/>
        <v>0</v>
      </c>
      <c r="M619" s="385">
        <f t="shared" si="881"/>
        <v>89148</v>
      </c>
      <c r="N619" s="385">
        <f t="shared" si="881"/>
        <v>50919</v>
      </c>
      <c r="O619" s="385">
        <f t="shared" si="881"/>
        <v>10466</v>
      </c>
      <c r="P619" s="385">
        <f t="shared" si="881"/>
        <v>0</v>
      </c>
      <c r="Q619" s="385">
        <f t="shared" si="881"/>
        <v>0</v>
      </c>
      <c r="R619" s="385">
        <f t="shared" si="881"/>
        <v>0</v>
      </c>
      <c r="S619" s="385">
        <f t="shared" si="881"/>
        <v>0</v>
      </c>
      <c r="T619" s="385">
        <f t="shared" si="881"/>
        <v>0</v>
      </c>
      <c r="U619" s="385">
        <f t="shared" si="881"/>
        <v>0</v>
      </c>
      <c r="V619" s="385">
        <f t="shared" si="881"/>
        <v>0</v>
      </c>
      <c r="W619" s="385">
        <f t="shared" si="881"/>
        <v>0</v>
      </c>
      <c r="X619" s="385">
        <f t="shared" si="881"/>
        <v>0</v>
      </c>
      <c r="Y619" s="385">
        <f t="shared" si="881"/>
        <v>0</v>
      </c>
      <c r="Z619" s="385">
        <f t="shared" si="881"/>
        <v>0</v>
      </c>
      <c r="AA619" s="385">
        <f t="shared" si="881"/>
        <v>0</v>
      </c>
      <c r="AB619" s="385">
        <f t="shared" si="881"/>
        <v>0</v>
      </c>
      <c r="AC619" s="385">
        <f t="shared" si="881"/>
        <v>0</v>
      </c>
      <c r="AD619" s="385">
        <f t="shared" si="881"/>
        <v>0</v>
      </c>
      <c r="AE619" s="385">
        <f t="shared" si="881"/>
        <v>0</v>
      </c>
      <c r="AF619" s="385">
        <f t="shared" si="881"/>
        <v>0</v>
      </c>
      <c r="AG619" s="385">
        <f t="shared" si="881"/>
        <v>0</v>
      </c>
      <c r="AH619" s="385">
        <f t="shared" si="881"/>
        <v>0</v>
      </c>
      <c r="AI619" s="385">
        <f t="shared" si="881"/>
        <v>0</v>
      </c>
      <c r="AJ619" s="385">
        <f t="shared" si="881"/>
        <v>0</v>
      </c>
      <c r="AK619" s="385">
        <f t="shared" si="881"/>
        <v>0</v>
      </c>
      <c r="AL619" s="385">
        <f t="shared" si="881"/>
        <v>0</v>
      </c>
      <c r="AM619" s="385">
        <f t="shared" si="881"/>
        <v>0</v>
      </c>
      <c r="AN619" s="489">
        <f t="shared" si="881"/>
        <v>0</v>
      </c>
      <c r="AO619" s="385">
        <f t="shared" si="881"/>
        <v>0</v>
      </c>
      <c r="AP619" s="385">
        <f t="shared" si="881"/>
        <v>0</v>
      </c>
      <c r="AQ619" s="385">
        <f t="shared" si="881"/>
        <v>0</v>
      </c>
      <c r="AR619" s="385">
        <f t="shared" si="881"/>
        <v>0</v>
      </c>
      <c r="AS619" s="385">
        <f t="shared" si="881"/>
        <v>0</v>
      </c>
      <c r="AT619" s="385">
        <f t="shared" si="881"/>
        <v>0</v>
      </c>
      <c r="AU619" s="385">
        <f t="shared" si="881"/>
        <v>0</v>
      </c>
      <c r="AV619" s="385">
        <f t="shared" si="881"/>
        <v>0</v>
      </c>
      <c r="AW619" s="385">
        <f t="shared" si="881"/>
        <v>0</v>
      </c>
      <c r="AX619" s="385">
        <f t="shared" si="881"/>
        <v>0</v>
      </c>
      <c r="AY619" s="385">
        <f t="shared" si="881"/>
        <v>0</v>
      </c>
    </row>
    <row r="620" spans="1:51" x14ac:dyDescent="0.2">
      <c r="A620" s="376"/>
      <c r="B620" s="376"/>
      <c r="C620" s="376" t="s">
        <v>266</v>
      </c>
      <c r="D620" s="376"/>
      <c r="E620" s="488"/>
      <c r="F620" s="384"/>
      <c r="G620" s="379">
        <f t="shared" ref="G620:AY620" si="882">MIN(G610:G617)</f>
        <v>7794</v>
      </c>
      <c r="H620" s="379">
        <f t="shared" si="882"/>
        <v>2440</v>
      </c>
      <c r="I620" s="379">
        <f t="shared" si="882"/>
        <v>287</v>
      </c>
      <c r="J620" s="379">
        <f t="shared" si="882"/>
        <v>0</v>
      </c>
      <c r="K620" s="379">
        <f t="shared" si="882"/>
        <v>1995</v>
      </c>
      <c r="L620" s="379">
        <f t="shared" si="882"/>
        <v>0</v>
      </c>
      <c r="M620" s="379">
        <f t="shared" si="882"/>
        <v>1995</v>
      </c>
      <c r="N620" s="379">
        <f t="shared" si="882"/>
        <v>0</v>
      </c>
      <c r="O620" s="379">
        <f t="shared" si="882"/>
        <v>0</v>
      </c>
      <c r="P620" s="379">
        <f t="shared" si="882"/>
        <v>0</v>
      </c>
      <c r="Q620" s="379">
        <f t="shared" si="882"/>
        <v>0</v>
      </c>
      <c r="R620" s="379">
        <f t="shared" si="882"/>
        <v>0</v>
      </c>
      <c r="S620" s="379">
        <f t="shared" si="882"/>
        <v>0</v>
      </c>
      <c r="T620" s="379">
        <f t="shared" si="882"/>
        <v>0</v>
      </c>
      <c r="U620" s="379">
        <f t="shared" si="882"/>
        <v>0</v>
      </c>
      <c r="V620" s="379">
        <f t="shared" si="882"/>
        <v>0</v>
      </c>
      <c r="W620" s="379">
        <f t="shared" si="882"/>
        <v>0</v>
      </c>
      <c r="X620" s="379">
        <f t="shared" si="882"/>
        <v>0</v>
      </c>
      <c r="Y620" s="379">
        <f t="shared" si="882"/>
        <v>0</v>
      </c>
      <c r="Z620" s="379">
        <f t="shared" si="882"/>
        <v>0</v>
      </c>
      <c r="AA620" s="379">
        <f t="shared" si="882"/>
        <v>0</v>
      </c>
      <c r="AB620" s="379">
        <f t="shared" si="882"/>
        <v>0</v>
      </c>
      <c r="AC620" s="379">
        <f t="shared" si="882"/>
        <v>0</v>
      </c>
      <c r="AD620" s="379">
        <f t="shared" si="882"/>
        <v>0</v>
      </c>
      <c r="AE620" s="379">
        <f t="shared" si="882"/>
        <v>0</v>
      </c>
      <c r="AF620" s="379">
        <f t="shared" si="882"/>
        <v>0</v>
      </c>
      <c r="AG620" s="379">
        <f t="shared" si="882"/>
        <v>0</v>
      </c>
      <c r="AH620" s="379">
        <f t="shared" si="882"/>
        <v>0</v>
      </c>
      <c r="AI620" s="379">
        <f t="shared" si="882"/>
        <v>0</v>
      </c>
      <c r="AJ620" s="379">
        <f t="shared" si="882"/>
        <v>0</v>
      </c>
      <c r="AK620" s="379">
        <f t="shared" si="882"/>
        <v>0</v>
      </c>
      <c r="AL620" s="379">
        <f t="shared" si="882"/>
        <v>0</v>
      </c>
      <c r="AM620" s="379">
        <f t="shared" si="882"/>
        <v>0</v>
      </c>
      <c r="AN620" s="490">
        <f t="shared" si="882"/>
        <v>0</v>
      </c>
      <c r="AO620" s="379">
        <f t="shared" si="882"/>
        <v>0</v>
      </c>
      <c r="AP620" s="379">
        <f t="shared" si="882"/>
        <v>0</v>
      </c>
      <c r="AQ620" s="379">
        <f t="shared" si="882"/>
        <v>0</v>
      </c>
      <c r="AR620" s="379">
        <f t="shared" si="882"/>
        <v>0</v>
      </c>
      <c r="AS620" s="379">
        <f t="shared" si="882"/>
        <v>0</v>
      </c>
      <c r="AT620" s="379">
        <f t="shared" si="882"/>
        <v>0</v>
      </c>
      <c r="AU620" s="379">
        <f t="shared" si="882"/>
        <v>0</v>
      </c>
      <c r="AV620" s="379">
        <f t="shared" si="882"/>
        <v>0</v>
      </c>
      <c r="AW620" s="379">
        <f t="shared" si="882"/>
        <v>0</v>
      </c>
      <c r="AX620" s="379">
        <f t="shared" si="882"/>
        <v>0</v>
      </c>
      <c r="AY620" s="379">
        <f t="shared" si="882"/>
        <v>0</v>
      </c>
    </row>
    <row r="621" spans="1:51" x14ac:dyDescent="0.2">
      <c r="A621" s="376"/>
      <c r="B621" s="376"/>
      <c r="C621" s="376" t="s">
        <v>267</v>
      </c>
      <c r="D621" s="376"/>
      <c r="E621" s="488"/>
      <c r="F621" s="384"/>
      <c r="G621" s="379">
        <f t="shared" ref="G621:AY621" si="883">MAX(G610:G617)</f>
        <v>57334</v>
      </c>
      <c r="H621" s="379">
        <f t="shared" si="883"/>
        <v>24271</v>
      </c>
      <c r="I621" s="379">
        <f t="shared" si="883"/>
        <v>417</v>
      </c>
      <c r="J621" s="379">
        <f t="shared" si="883"/>
        <v>0</v>
      </c>
      <c r="K621" s="379">
        <f t="shared" si="883"/>
        <v>22022</v>
      </c>
      <c r="L621" s="379">
        <f t="shared" si="883"/>
        <v>0</v>
      </c>
      <c r="M621" s="379">
        <f t="shared" si="883"/>
        <v>22138</v>
      </c>
      <c r="N621" s="379">
        <f t="shared" si="883"/>
        <v>21395</v>
      </c>
      <c r="O621" s="379">
        <f t="shared" si="883"/>
        <v>4297</v>
      </c>
      <c r="P621" s="379">
        <f t="shared" si="883"/>
        <v>0</v>
      </c>
      <c r="Q621" s="379">
        <f t="shared" si="883"/>
        <v>0</v>
      </c>
      <c r="R621" s="379">
        <f t="shared" si="883"/>
        <v>0</v>
      </c>
      <c r="S621" s="379">
        <f t="shared" si="883"/>
        <v>0</v>
      </c>
      <c r="T621" s="379">
        <f t="shared" si="883"/>
        <v>0</v>
      </c>
      <c r="U621" s="379">
        <f t="shared" si="883"/>
        <v>0</v>
      </c>
      <c r="V621" s="379">
        <f t="shared" si="883"/>
        <v>0</v>
      </c>
      <c r="W621" s="379">
        <f t="shared" si="883"/>
        <v>0</v>
      </c>
      <c r="X621" s="379">
        <f t="shared" si="883"/>
        <v>0</v>
      </c>
      <c r="Y621" s="379">
        <f t="shared" si="883"/>
        <v>0</v>
      </c>
      <c r="Z621" s="379">
        <f t="shared" si="883"/>
        <v>0</v>
      </c>
      <c r="AA621" s="379">
        <f t="shared" si="883"/>
        <v>0</v>
      </c>
      <c r="AB621" s="379">
        <f t="shared" si="883"/>
        <v>0</v>
      </c>
      <c r="AC621" s="379">
        <f t="shared" si="883"/>
        <v>0</v>
      </c>
      <c r="AD621" s="379">
        <f t="shared" si="883"/>
        <v>0</v>
      </c>
      <c r="AE621" s="379">
        <f t="shared" si="883"/>
        <v>0</v>
      </c>
      <c r="AF621" s="379">
        <f t="shared" si="883"/>
        <v>0</v>
      </c>
      <c r="AG621" s="379">
        <f t="shared" si="883"/>
        <v>0</v>
      </c>
      <c r="AH621" s="379">
        <f t="shared" si="883"/>
        <v>0</v>
      </c>
      <c r="AI621" s="379">
        <f t="shared" si="883"/>
        <v>0</v>
      </c>
      <c r="AJ621" s="379">
        <f t="shared" si="883"/>
        <v>0</v>
      </c>
      <c r="AK621" s="379">
        <f t="shared" si="883"/>
        <v>0</v>
      </c>
      <c r="AL621" s="379">
        <f t="shared" si="883"/>
        <v>0</v>
      </c>
      <c r="AM621" s="379">
        <f t="shared" si="883"/>
        <v>0</v>
      </c>
      <c r="AN621" s="490">
        <f t="shared" si="883"/>
        <v>0</v>
      </c>
      <c r="AO621" s="379">
        <f t="shared" si="883"/>
        <v>0</v>
      </c>
      <c r="AP621" s="379">
        <f t="shared" si="883"/>
        <v>0</v>
      </c>
      <c r="AQ621" s="379">
        <f t="shared" si="883"/>
        <v>0</v>
      </c>
      <c r="AR621" s="379">
        <f t="shared" si="883"/>
        <v>0</v>
      </c>
      <c r="AS621" s="379">
        <f t="shared" si="883"/>
        <v>0</v>
      </c>
      <c r="AT621" s="379">
        <f t="shared" si="883"/>
        <v>0</v>
      </c>
      <c r="AU621" s="379">
        <f t="shared" si="883"/>
        <v>0</v>
      </c>
      <c r="AV621" s="379">
        <f t="shared" si="883"/>
        <v>0</v>
      </c>
      <c r="AW621" s="379">
        <f t="shared" si="883"/>
        <v>0</v>
      </c>
      <c r="AX621" s="379">
        <f t="shared" si="883"/>
        <v>0</v>
      </c>
      <c r="AY621" s="379">
        <f t="shared" si="883"/>
        <v>0</v>
      </c>
    </row>
    <row r="622" spans="1:51" x14ac:dyDescent="0.2">
      <c r="A622" s="376"/>
      <c r="B622" s="376"/>
      <c r="C622" s="376" t="s">
        <v>268</v>
      </c>
      <c r="D622" s="376"/>
      <c r="E622" s="488"/>
      <c r="F622" s="384"/>
      <c r="G622" s="379">
        <f t="shared" ref="G622:AY622" si="884">AVERAGE(G610:G617)</f>
        <v>27946.25</v>
      </c>
      <c r="H622" s="379">
        <f t="shared" si="884"/>
        <v>13261.375</v>
      </c>
      <c r="I622" s="379">
        <f t="shared" si="884"/>
        <v>348.66250000000002</v>
      </c>
      <c r="J622" s="379" t="e">
        <f t="shared" si="884"/>
        <v>#DIV/0!</v>
      </c>
      <c r="K622" s="379">
        <f t="shared" si="884"/>
        <v>10492.5</v>
      </c>
      <c r="L622" s="379">
        <f t="shared" si="884"/>
        <v>0</v>
      </c>
      <c r="M622" s="379">
        <f t="shared" si="884"/>
        <v>11143.5</v>
      </c>
      <c r="N622" s="379">
        <f t="shared" si="884"/>
        <v>6364.875</v>
      </c>
      <c r="O622" s="379">
        <f t="shared" si="884"/>
        <v>1308.25</v>
      </c>
      <c r="P622" s="379">
        <f t="shared" si="884"/>
        <v>0</v>
      </c>
      <c r="Q622" s="379" t="e">
        <f t="shared" si="884"/>
        <v>#DIV/0!</v>
      </c>
      <c r="R622" s="379" t="e">
        <f t="shared" si="884"/>
        <v>#DIV/0!</v>
      </c>
      <c r="S622" s="379" t="e">
        <f t="shared" si="884"/>
        <v>#DIV/0!</v>
      </c>
      <c r="T622" s="379" t="e">
        <f t="shared" si="884"/>
        <v>#DIV/0!</v>
      </c>
      <c r="U622" s="379">
        <f t="shared" si="884"/>
        <v>0</v>
      </c>
      <c r="V622" s="379">
        <f t="shared" si="884"/>
        <v>0</v>
      </c>
      <c r="W622" s="379">
        <f t="shared" si="884"/>
        <v>0</v>
      </c>
      <c r="X622" s="379">
        <f t="shared" si="884"/>
        <v>0</v>
      </c>
      <c r="Y622" s="379">
        <f t="shared" si="884"/>
        <v>0</v>
      </c>
      <c r="Z622" s="379">
        <f t="shared" si="884"/>
        <v>0</v>
      </c>
      <c r="AA622" s="379">
        <f t="shared" si="884"/>
        <v>0</v>
      </c>
      <c r="AB622" s="379">
        <f t="shared" si="884"/>
        <v>0</v>
      </c>
      <c r="AC622" s="379">
        <f t="shared" si="884"/>
        <v>0</v>
      </c>
      <c r="AD622" s="379">
        <f t="shared" si="884"/>
        <v>0</v>
      </c>
      <c r="AE622" s="379">
        <f t="shared" si="884"/>
        <v>0</v>
      </c>
      <c r="AF622" s="379">
        <f t="shared" si="884"/>
        <v>0</v>
      </c>
      <c r="AG622" s="379">
        <f t="shared" si="884"/>
        <v>0</v>
      </c>
      <c r="AH622" s="379">
        <f t="shared" si="884"/>
        <v>0</v>
      </c>
      <c r="AI622" s="379">
        <f t="shared" si="884"/>
        <v>0</v>
      </c>
      <c r="AJ622" s="379">
        <f t="shared" si="884"/>
        <v>0</v>
      </c>
      <c r="AK622" s="379">
        <f t="shared" si="884"/>
        <v>0</v>
      </c>
      <c r="AL622" s="379">
        <f t="shared" si="884"/>
        <v>0</v>
      </c>
      <c r="AM622" s="379">
        <f t="shared" si="884"/>
        <v>0</v>
      </c>
      <c r="AN622" s="490">
        <f t="shared" si="884"/>
        <v>0</v>
      </c>
      <c r="AO622" s="379">
        <f t="shared" si="884"/>
        <v>0</v>
      </c>
      <c r="AP622" s="379">
        <f t="shared" si="884"/>
        <v>0</v>
      </c>
      <c r="AQ622" s="379">
        <f t="shared" si="884"/>
        <v>0</v>
      </c>
      <c r="AR622" s="379">
        <f t="shared" si="884"/>
        <v>0</v>
      </c>
      <c r="AS622" s="379">
        <f t="shared" si="884"/>
        <v>0</v>
      </c>
      <c r="AT622" s="379">
        <f t="shared" si="884"/>
        <v>0</v>
      </c>
      <c r="AU622" s="379">
        <f t="shared" si="884"/>
        <v>0</v>
      </c>
      <c r="AV622" s="379">
        <f t="shared" si="884"/>
        <v>0</v>
      </c>
      <c r="AW622" s="379">
        <f t="shared" si="884"/>
        <v>0</v>
      </c>
      <c r="AX622" s="379">
        <f t="shared" si="884"/>
        <v>0</v>
      </c>
      <c r="AY622" s="379">
        <f t="shared" si="884"/>
        <v>0</v>
      </c>
    </row>
    <row r="623" spans="1:51" ht="13.5" thickBot="1" x14ac:dyDescent="0.25">
      <c r="A623" s="386"/>
      <c r="B623" s="386"/>
      <c r="C623" s="386" t="s">
        <v>269</v>
      </c>
      <c r="D623" s="386"/>
      <c r="E623" s="491"/>
      <c r="F623" s="384"/>
      <c r="G623" s="388">
        <f t="shared" ref="G623:AY623" si="885">MEDIAN(G610:G617)</f>
        <v>25399</v>
      </c>
      <c r="H623" s="388">
        <f t="shared" si="885"/>
        <v>12521.5</v>
      </c>
      <c r="I623" s="388">
        <f t="shared" si="885"/>
        <v>349</v>
      </c>
      <c r="J623" s="388" t="e">
        <f t="shared" si="885"/>
        <v>#NUM!</v>
      </c>
      <c r="K623" s="388">
        <f t="shared" si="885"/>
        <v>8046.5</v>
      </c>
      <c r="L623" s="388">
        <f t="shared" si="885"/>
        <v>0</v>
      </c>
      <c r="M623" s="388">
        <f t="shared" si="885"/>
        <v>9067.5</v>
      </c>
      <c r="N623" s="388">
        <f t="shared" si="885"/>
        <v>1788.5</v>
      </c>
      <c r="O623" s="388">
        <f t="shared" si="885"/>
        <v>493.5</v>
      </c>
      <c r="P623" s="388">
        <f t="shared" si="885"/>
        <v>0</v>
      </c>
      <c r="Q623" s="388" t="e">
        <f t="shared" si="885"/>
        <v>#NUM!</v>
      </c>
      <c r="R623" s="388" t="e">
        <f t="shared" si="885"/>
        <v>#NUM!</v>
      </c>
      <c r="S623" s="388" t="e">
        <f t="shared" si="885"/>
        <v>#NUM!</v>
      </c>
      <c r="T623" s="388" t="e">
        <f t="shared" si="885"/>
        <v>#NUM!</v>
      </c>
      <c r="U623" s="388">
        <f t="shared" si="885"/>
        <v>0</v>
      </c>
      <c r="V623" s="388">
        <f t="shared" si="885"/>
        <v>0</v>
      </c>
      <c r="W623" s="388">
        <f t="shared" si="885"/>
        <v>0</v>
      </c>
      <c r="X623" s="388">
        <f t="shared" si="885"/>
        <v>0</v>
      </c>
      <c r="Y623" s="388">
        <f t="shared" si="885"/>
        <v>0</v>
      </c>
      <c r="Z623" s="388">
        <f t="shared" si="885"/>
        <v>0</v>
      </c>
      <c r="AA623" s="388">
        <f t="shared" si="885"/>
        <v>0</v>
      </c>
      <c r="AB623" s="388">
        <f t="shared" si="885"/>
        <v>0</v>
      </c>
      <c r="AC623" s="388">
        <f t="shared" si="885"/>
        <v>0</v>
      </c>
      <c r="AD623" s="388">
        <f t="shared" si="885"/>
        <v>0</v>
      </c>
      <c r="AE623" s="388">
        <f t="shared" si="885"/>
        <v>0</v>
      </c>
      <c r="AF623" s="388">
        <f t="shared" si="885"/>
        <v>0</v>
      </c>
      <c r="AG623" s="388">
        <f t="shared" si="885"/>
        <v>0</v>
      </c>
      <c r="AH623" s="388">
        <f t="shared" si="885"/>
        <v>0</v>
      </c>
      <c r="AI623" s="388">
        <f t="shared" si="885"/>
        <v>0</v>
      </c>
      <c r="AJ623" s="388">
        <f t="shared" si="885"/>
        <v>0</v>
      </c>
      <c r="AK623" s="388">
        <f t="shared" si="885"/>
        <v>0</v>
      </c>
      <c r="AL623" s="388">
        <f t="shared" si="885"/>
        <v>0</v>
      </c>
      <c r="AM623" s="388">
        <f t="shared" si="885"/>
        <v>0</v>
      </c>
      <c r="AN623" s="492">
        <f t="shared" si="885"/>
        <v>0</v>
      </c>
      <c r="AO623" s="388">
        <f t="shared" si="885"/>
        <v>0</v>
      </c>
      <c r="AP623" s="388">
        <f t="shared" si="885"/>
        <v>0</v>
      </c>
      <c r="AQ623" s="388">
        <f t="shared" si="885"/>
        <v>0</v>
      </c>
      <c r="AR623" s="388">
        <f t="shared" si="885"/>
        <v>0</v>
      </c>
      <c r="AS623" s="388">
        <f t="shared" si="885"/>
        <v>0</v>
      </c>
      <c r="AT623" s="388">
        <f t="shared" si="885"/>
        <v>0</v>
      </c>
      <c r="AU623" s="388">
        <f t="shared" si="885"/>
        <v>0</v>
      </c>
      <c r="AV623" s="388">
        <f t="shared" si="885"/>
        <v>0</v>
      </c>
      <c r="AW623" s="388">
        <f t="shared" si="885"/>
        <v>0</v>
      </c>
      <c r="AX623" s="388">
        <f t="shared" si="885"/>
        <v>0</v>
      </c>
      <c r="AY623" s="388">
        <f t="shared" si="885"/>
        <v>0</v>
      </c>
    </row>
    <row r="624" spans="1:51" ht="13.5" thickTop="1" x14ac:dyDescent="0.2">
      <c r="B624"/>
      <c r="C624" s="278"/>
      <c r="D624" s="278"/>
      <c r="E624" s="507"/>
    </row>
    <row r="625" spans="1:51" ht="13.5" thickBot="1" x14ac:dyDescent="0.25">
      <c r="A625" s="400"/>
      <c r="B625" s="400"/>
      <c r="C625" s="402" t="s">
        <v>123</v>
      </c>
      <c r="D625" s="402"/>
      <c r="E625" s="503"/>
    </row>
    <row r="626" spans="1:51" ht="13.5" thickTop="1" x14ac:dyDescent="0.2">
      <c r="A626" s="376">
        <v>10050</v>
      </c>
      <c r="B626" s="378" t="str">
        <f t="shared" ref="B626:B632" si="886">VLOOKUP($A626,$A$5:$L$133,2,FALSE)</f>
        <v>Albury (C)</v>
      </c>
      <c r="C626" s="377" t="str">
        <f t="shared" ref="C626:C632" si="887">VLOOKUP($A626,$A$5:$L$133,3,FALSE)</f>
        <v>RAMROC Murray</v>
      </c>
      <c r="D626" s="503" t="str">
        <f t="shared" ref="D626:D632" si="888">VLOOKUP($A626,$A$5:$L$133,4,FALSE)</f>
        <v>N</v>
      </c>
      <c r="E626" s="503"/>
      <c r="F626"/>
      <c r="G626" s="379">
        <f t="shared" ref="G626:G632" si="889">VLOOKUP($A626,$A$5:$AY$132,7,FALSE)</f>
        <v>52411</v>
      </c>
      <c r="H626" s="379">
        <f t="shared" ref="H626:H632" si="890">VLOOKUP($A626,$A$5:$AY$132,8,FALSE)</f>
        <v>21678</v>
      </c>
      <c r="I626" s="379">
        <f t="shared" ref="I626:I632" si="891">VLOOKUP($A626,$A$5:$AY$132,9,FALSE)</f>
        <v>250</v>
      </c>
      <c r="J626" s="379" t="str">
        <f t="shared" ref="J626:J632" si="892">VLOOKUP($A626,$A$5:$AY$132,10,FALSE)</f>
        <v>Y</v>
      </c>
      <c r="K626" s="379">
        <f t="shared" ref="K626:K632" si="893">VLOOKUP($A626,$A$5:$AY$132,11,FALSE)</f>
        <v>22964</v>
      </c>
      <c r="L626" s="379">
        <f t="shared" ref="L626:L632" si="894">VLOOKUP($A626,$A$5:$AY$132,12,FALSE)</f>
        <v>0</v>
      </c>
      <c r="M626" s="379">
        <f t="shared" ref="M626:M632" si="895">VLOOKUP($A626,$A$4:$AY$132,13,FALSE)</f>
        <v>22964</v>
      </c>
      <c r="N626" s="379">
        <f t="shared" ref="N626:N632" si="896">VLOOKUP($A626,$A$4:$AY$132,14,FALSE)</f>
        <v>0</v>
      </c>
      <c r="O626" s="379">
        <f t="shared" ref="O626:O632" si="897">VLOOKUP($A626,$A$4:$AY$132,15,FALSE)</f>
        <v>22964</v>
      </c>
      <c r="P626" s="379">
        <f t="shared" ref="P626:P632" si="898">VLOOKUP($A626,$A$4:$AY$132,16,FALSE)</f>
        <v>0</v>
      </c>
      <c r="Q626" s="379" t="str">
        <f t="shared" ref="Q626:Q632" si="899">VLOOKUP($A626,$A$4:$AY$132,17,FALSE)</f>
        <v>Y</v>
      </c>
      <c r="R626" s="379" t="str">
        <f t="shared" ref="R626:R632" si="900">VLOOKUP($A626,$A$4:$AY$132,18,FALSE)</f>
        <v>AWMC</v>
      </c>
      <c r="S626" s="379">
        <f t="shared" ref="S626:S632" si="901">VLOOKUP($A626,$A$4:$AY$132,19,FALSE)</f>
        <v>0</v>
      </c>
      <c r="T626" s="379">
        <f t="shared" ref="T626:T632" si="902">VLOOKUP($A626,$A$4:$AY$132,20,FALSE)</f>
        <v>0</v>
      </c>
      <c r="U626" s="379">
        <f t="shared" ref="U626:U632" si="903">VLOOKUP($A626,$A$4:$AY$132,21,FALSE)</f>
        <v>0</v>
      </c>
      <c r="V626" s="379">
        <f t="shared" ref="V626:V632" si="904">VLOOKUP($A626,$A$4:$AY$132,22,FALSE)</f>
        <v>0</v>
      </c>
      <c r="W626" s="379">
        <f t="shared" ref="W626:W632" si="905">VLOOKUP($A626,$A$4:$AY$132,23,FALSE)</f>
        <v>0</v>
      </c>
      <c r="X626" s="379">
        <f t="shared" ref="X626:X632" si="906">VLOOKUP($A626,$A$4:$AY$132,24,FALSE)</f>
        <v>0</v>
      </c>
      <c r="Y626" s="379">
        <f t="shared" ref="Y626:Y632" si="907">VLOOKUP($A626,$A$4:$AY$132,25,FALSE)</f>
        <v>0</v>
      </c>
      <c r="Z626" s="379">
        <f t="shared" ref="Z626:Z632" si="908">VLOOKUP($A626,$A$4:$AY$132,26,FALSE)</f>
        <v>0</v>
      </c>
      <c r="AA626" s="379">
        <f t="shared" ref="AA626:AA632" si="909">VLOOKUP($A626,$A$4:$AY$132,27,FALSE)</f>
        <v>0</v>
      </c>
      <c r="AB626" s="379">
        <f t="shared" ref="AB626:AB632" si="910">VLOOKUP($A626,$A$4:$AY$132,28,FALSE)</f>
        <v>0</v>
      </c>
      <c r="AC626" s="379">
        <f t="shared" ref="AC626:AC632" si="911">VLOOKUP($A626,$A$4:$AY$132,29,FALSE)</f>
        <v>0</v>
      </c>
      <c r="AD626" s="379">
        <f t="shared" ref="AD626:AD632" si="912">VLOOKUP($A626,$A$4:$AY$132,30,FALSE)</f>
        <v>0</v>
      </c>
      <c r="AE626" s="379">
        <f t="shared" ref="AE626:AE632" si="913">VLOOKUP($A626,$A$4:$AY$132,31,FALSE)</f>
        <v>0</v>
      </c>
      <c r="AF626" s="379">
        <f t="shared" ref="AF626:AF632" si="914">VLOOKUP($A626,$A$4:$AY$132,32,FALSE)</f>
        <v>0</v>
      </c>
      <c r="AG626" s="379">
        <f t="shared" ref="AG626:AG632" si="915">VLOOKUP($A626,$A$4:$AY$132,33,FALSE)</f>
        <v>0</v>
      </c>
      <c r="AH626" s="379">
        <f t="shared" ref="AH626:AH632" si="916">VLOOKUP($A626,$A$4:$AY$132,34,FALSE)</f>
        <v>0</v>
      </c>
      <c r="AI626" s="379">
        <f t="shared" ref="AI626:AI632" si="917">VLOOKUP($A626,$A$4:$AY$132,35,FALSE)</f>
        <v>0</v>
      </c>
      <c r="AJ626" s="379">
        <f t="shared" ref="AJ626:AJ632" si="918">VLOOKUP($A626,$A$4:$AY$132,36,FALSE)</f>
        <v>0</v>
      </c>
      <c r="AK626" s="379">
        <f t="shared" ref="AK626:AK632" si="919">VLOOKUP($A626,$A$4:$AY$132,37,FALSE)</f>
        <v>0</v>
      </c>
      <c r="AL626" s="379">
        <f t="shared" ref="AL626:AL632" si="920">VLOOKUP($A626,$A$4:$AY$132,38,FALSE)</f>
        <v>0</v>
      </c>
      <c r="AM626" s="379">
        <f t="shared" ref="AM626:AM632" si="921">VLOOKUP($A626,$A$4:$AY$132,39,FALSE)</f>
        <v>0</v>
      </c>
      <c r="AN626" s="490">
        <f t="shared" ref="AN626:AN632" si="922">VLOOKUP($A626,$A$4:$AY$132,40,FALSE)</f>
        <v>0</v>
      </c>
      <c r="AO626" s="379">
        <f t="shared" ref="AO626:AO632" si="923">VLOOKUP($A626,$A$4:$AY$132,41,FALSE)</f>
        <v>0</v>
      </c>
      <c r="AP626" s="379">
        <f t="shared" ref="AP626:AP632" si="924">VLOOKUP($A626,$A$4:$AY$132,42,FALSE)</f>
        <v>0</v>
      </c>
      <c r="AQ626" s="379">
        <f t="shared" ref="AQ626:AQ632" si="925">VLOOKUP($A626,$A$4:$AY$132,43,FALSE)</f>
        <v>0</v>
      </c>
      <c r="AR626" s="379">
        <f t="shared" ref="AR626:AR632" si="926">VLOOKUP($A626,$A$4:$AY$132,44,FALSE)</f>
        <v>0</v>
      </c>
      <c r="AS626" s="379">
        <f t="shared" ref="AS626:AS632" si="927">VLOOKUP($A626,$A$4:$AY$132,45,FALSE)</f>
        <v>0</v>
      </c>
      <c r="AT626" s="379">
        <f t="shared" ref="AT626:AT632" si="928">VLOOKUP($A626,$A$4:$AY$132,46,FALSE)</f>
        <v>0</v>
      </c>
      <c r="AU626" s="379">
        <f t="shared" ref="AU626:AU632" si="929">VLOOKUP($A626,$A$4:$AY$132,47,FALSE)</f>
        <v>0</v>
      </c>
      <c r="AV626" s="379">
        <f t="shared" ref="AV626:AV632" si="930">VLOOKUP($A626,$A$4:$AY$132,48,FALSE)</f>
        <v>0</v>
      </c>
      <c r="AW626" s="379">
        <f t="shared" ref="AW626:AW632" si="931">VLOOKUP($A626,$A$4:$AY$132,49,FALSE)</f>
        <v>0</v>
      </c>
      <c r="AX626" s="379">
        <f t="shared" ref="AX626:AX632" si="932">VLOOKUP($A626,$A$4:$AY$132,50,FALSE)</f>
        <v>0</v>
      </c>
      <c r="AY626" s="379">
        <f t="shared" ref="AY626:AY632" si="933">VLOOKUP($A626,$A$4:$AY$132,51,FALSE)</f>
        <v>0</v>
      </c>
    </row>
    <row r="627" spans="1:51" x14ac:dyDescent="0.2">
      <c r="A627" s="376">
        <v>10300</v>
      </c>
      <c r="B627" s="378" t="str">
        <f t="shared" si="886"/>
        <v>Balranald (A)</v>
      </c>
      <c r="C627" s="377" t="str">
        <f t="shared" si="887"/>
        <v>RAMROC Murray</v>
      </c>
      <c r="D627" s="503" t="str">
        <f t="shared" si="888"/>
        <v>N</v>
      </c>
      <c r="E627" s="503"/>
      <c r="F627"/>
      <c r="G627" s="379">
        <f t="shared" si="889"/>
        <v>2385</v>
      </c>
      <c r="H627" s="379">
        <f t="shared" si="890"/>
        <v>1674</v>
      </c>
      <c r="I627" s="379">
        <f t="shared" si="891"/>
        <v>305</v>
      </c>
      <c r="J627" s="379" t="str">
        <f t="shared" si="892"/>
        <v>Y</v>
      </c>
      <c r="K627" s="379">
        <f t="shared" si="893"/>
        <v>708</v>
      </c>
      <c r="L627" s="379">
        <f t="shared" si="894"/>
        <v>0</v>
      </c>
      <c r="M627" s="379">
        <f t="shared" si="895"/>
        <v>0</v>
      </c>
      <c r="N627" s="379">
        <f t="shared" si="896"/>
        <v>0</v>
      </c>
      <c r="O627" s="379">
        <f t="shared" si="897"/>
        <v>0</v>
      </c>
      <c r="P627" s="379" t="str">
        <f t="shared" si="898"/>
        <v>Y</v>
      </c>
      <c r="Q627" s="379" t="str">
        <f t="shared" si="899"/>
        <v>Y</v>
      </c>
      <c r="R627" s="379" t="str">
        <f t="shared" si="900"/>
        <v>Balranald</v>
      </c>
      <c r="S627" s="379" t="str">
        <f t="shared" si="901"/>
        <v>Euston</v>
      </c>
      <c r="T627" s="379">
        <f t="shared" si="902"/>
        <v>0</v>
      </c>
      <c r="U627" s="379">
        <f t="shared" si="903"/>
        <v>0</v>
      </c>
      <c r="V627" s="379">
        <f t="shared" si="904"/>
        <v>0</v>
      </c>
      <c r="W627" s="379">
        <f t="shared" si="905"/>
        <v>0</v>
      </c>
      <c r="X627" s="379">
        <f t="shared" si="906"/>
        <v>0</v>
      </c>
      <c r="Y627" s="379">
        <f t="shared" si="907"/>
        <v>0</v>
      </c>
      <c r="Z627" s="379">
        <f t="shared" si="908"/>
        <v>0</v>
      </c>
      <c r="AA627" s="379">
        <f t="shared" si="909"/>
        <v>0</v>
      </c>
      <c r="AB627" s="379">
        <f t="shared" si="910"/>
        <v>0</v>
      </c>
      <c r="AC627" s="379">
        <f t="shared" si="911"/>
        <v>0</v>
      </c>
      <c r="AD627" s="379">
        <f t="shared" si="912"/>
        <v>0</v>
      </c>
      <c r="AE627" s="379">
        <f t="shared" si="913"/>
        <v>0</v>
      </c>
      <c r="AF627" s="379">
        <f t="shared" si="914"/>
        <v>0</v>
      </c>
      <c r="AG627" s="379">
        <f t="shared" si="915"/>
        <v>0</v>
      </c>
      <c r="AH627" s="379">
        <f t="shared" si="916"/>
        <v>0</v>
      </c>
      <c r="AI627" s="379">
        <f t="shared" si="917"/>
        <v>0</v>
      </c>
      <c r="AJ627" s="379">
        <f t="shared" si="918"/>
        <v>0</v>
      </c>
      <c r="AK627" s="379">
        <f t="shared" si="919"/>
        <v>0</v>
      </c>
      <c r="AL627" s="379">
        <f t="shared" si="920"/>
        <v>0</v>
      </c>
      <c r="AM627" s="379">
        <f t="shared" si="921"/>
        <v>0</v>
      </c>
      <c r="AN627" s="490">
        <f t="shared" si="922"/>
        <v>0</v>
      </c>
      <c r="AO627" s="379">
        <f t="shared" si="923"/>
        <v>0</v>
      </c>
      <c r="AP627" s="379">
        <f t="shared" si="924"/>
        <v>0</v>
      </c>
      <c r="AQ627" s="379">
        <f t="shared" si="925"/>
        <v>0</v>
      </c>
      <c r="AR627" s="379">
        <f t="shared" si="926"/>
        <v>0</v>
      </c>
      <c r="AS627" s="379">
        <f t="shared" si="927"/>
        <v>0</v>
      </c>
      <c r="AT627" s="379">
        <f t="shared" si="928"/>
        <v>0</v>
      </c>
      <c r="AU627" s="379">
        <f t="shared" si="929"/>
        <v>0</v>
      </c>
      <c r="AV627" s="379">
        <f t="shared" si="930"/>
        <v>0</v>
      </c>
      <c r="AW627" s="379">
        <f t="shared" si="931"/>
        <v>0</v>
      </c>
      <c r="AX627" s="379">
        <f t="shared" si="932"/>
        <v>0</v>
      </c>
      <c r="AY627" s="379">
        <f t="shared" si="933"/>
        <v>0</v>
      </c>
    </row>
    <row r="628" spans="1:51" x14ac:dyDescent="0.2">
      <c r="A628" s="376">
        <v>10650</v>
      </c>
      <c r="B628" s="378" t="str">
        <f t="shared" si="886"/>
        <v>Berrigan (A)</v>
      </c>
      <c r="C628" s="377" t="str">
        <f t="shared" si="887"/>
        <v>RAMROC Murray</v>
      </c>
      <c r="D628" s="503" t="str">
        <f t="shared" si="888"/>
        <v>N</v>
      </c>
      <c r="E628" s="503"/>
      <c r="F628"/>
      <c r="G628" s="379">
        <f t="shared" si="889"/>
        <v>8420</v>
      </c>
      <c r="H628" s="379">
        <f t="shared" si="890"/>
        <v>3549</v>
      </c>
      <c r="I628" s="379">
        <f t="shared" si="891"/>
        <v>279</v>
      </c>
      <c r="J628" s="379" t="str">
        <f t="shared" si="892"/>
        <v>Y</v>
      </c>
      <c r="K628" s="379">
        <f t="shared" si="893"/>
        <v>3404</v>
      </c>
      <c r="L628" s="379">
        <f t="shared" si="894"/>
        <v>0</v>
      </c>
      <c r="M628" s="379">
        <f t="shared" si="895"/>
        <v>3404</v>
      </c>
      <c r="N628" s="379">
        <f t="shared" si="896"/>
        <v>0</v>
      </c>
      <c r="O628" s="379">
        <f t="shared" si="897"/>
        <v>0</v>
      </c>
      <c r="P628" s="379">
        <f t="shared" si="898"/>
        <v>0</v>
      </c>
      <c r="Q628" s="379" t="str">
        <f t="shared" si="899"/>
        <v>Y</v>
      </c>
      <c r="R628" s="379" t="str">
        <f t="shared" si="900"/>
        <v>Berrigan Landfill</v>
      </c>
      <c r="S628" s="379" t="str">
        <f t="shared" si="901"/>
        <v>Tocumwal Landfill</v>
      </c>
      <c r="T628" s="379">
        <f t="shared" si="902"/>
        <v>0</v>
      </c>
      <c r="U628" s="379">
        <f t="shared" si="903"/>
        <v>0</v>
      </c>
      <c r="V628" s="379">
        <f t="shared" si="904"/>
        <v>0</v>
      </c>
      <c r="W628" s="379">
        <f t="shared" si="905"/>
        <v>0</v>
      </c>
      <c r="X628" s="379">
        <f t="shared" si="906"/>
        <v>0</v>
      </c>
      <c r="Y628" s="379">
        <f t="shared" si="907"/>
        <v>0</v>
      </c>
      <c r="Z628" s="379">
        <f t="shared" si="908"/>
        <v>0</v>
      </c>
      <c r="AA628" s="379">
        <f t="shared" si="909"/>
        <v>0</v>
      </c>
      <c r="AB628" s="379">
        <f t="shared" si="910"/>
        <v>0</v>
      </c>
      <c r="AC628" s="379">
        <f t="shared" si="911"/>
        <v>0</v>
      </c>
      <c r="AD628" s="379">
        <f t="shared" si="912"/>
        <v>0</v>
      </c>
      <c r="AE628" s="379">
        <f t="shared" si="913"/>
        <v>0</v>
      </c>
      <c r="AF628" s="379">
        <f t="shared" si="914"/>
        <v>0</v>
      </c>
      <c r="AG628" s="379">
        <f t="shared" si="915"/>
        <v>0</v>
      </c>
      <c r="AH628" s="379">
        <f t="shared" si="916"/>
        <v>0</v>
      </c>
      <c r="AI628" s="379">
        <f t="shared" si="917"/>
        <v>0</v>
      </c>
      <c r="AJ628" s="379">
        <f t="shared" si="918"/>
        <v>0</v>
      </c>
      <c r="AK628" s="379">
        <f t="shared" si="919"/>
        <v>0</v>
      </c>
      <c r="AL628" s="379">
        <f t="shared" si="920"/>
        <v>0</v>
      </c>
      <c r="AM628" s="379">
        <f t="shared" si="921"/>
        <v>0</v>
      </c>
      <c r="AN628" s="490">
        <f t="shared" si="922"/>
        <v>0</v>
      </c>
      <c r="AO628" s="379">
        <f t="shared" si="923"/>
        <v>0</v>
      </c>
      <c r="AP628" s="379">
        <f t="shared" si="924"/>
        <v>0</v>
      </c>
      <c r="AQ628" s="379">
        <f t="shared" si="925"/>
        <v>0</v>
      </c>
      <c r="AR628" s="379">
        <f t="shared" si="926"/>
        <v>0</v>
      </c>
      <c r="AS628" s="379">
        <f t="shared" si="927"/>
        <v>0</v>
      </c>
      <c r="AT628" s="379">
        <f t="shared" si="928"/>
        <v>0</v>
      </c>
      <c r="AU628" s="379">
        <f t="shared" si="929"/>
        <v>0</v>
      </c>
      <c r="AV628" s="379">
        <f t="shared" si="930"/>
        <v>0</v>
      </c>
      <c r="AW628" s="379">
        <f t="shared" si="931"/>
        <v>0</v>
      </c>
      <c r="AX628" s="379">
        <f t="shared" si="932"/>
        <v>0</v>
      </c>
      <c r="AY628" s="379">
        <f t="shared" si="933"/>
        <v>0</v>
      </c>
    </row>
    <row r="629" spans="1:51" x14ac:dyDescent="0.2">
      <c r="A629" s="376">
        <v>12730</v>
      </c>
      <c r="B629" s="378" t="str">
        <f t="shared" si="886"/>
        <v>Edward River (A)</v>
      </c>
      <c r="C629" s="377" t="str">
        <f t="shared" si="887"/>
        <v>RAMROC Murray</v>
      </c>
      <c r="D629" s="503" t="str">
        <f t="shared" si="888"/>
        <v>N</v>
      </c>
      <c r="E629" s="503"/>
      <c r="F629"/>
      <c r="G629" s="379">
        <f t="shared" si="889"/>
        <v>8876</v>
      </c>
      <c r="H629" s="379">
        <f t="shared" si="890"/>
        <v>3396</v>
      </c>
      <c r="I629" s="379">
        <f t="shared" si="891"/>
        <v>343.5</v>
      </c>
      <c r="J629" s="379" t="str">
        <f t="shared" si="892"/>
        <v>Y</v>
      </c>
      <c r="K629" s="379">
        <f t="shared" si="893"/>
        <v>3419</v>
      </c>
      <c r="L629" s="379">
        <f t="shared" si="894"/>
        <v>0</v>
      </c>
      <c r="M629" s="379">
        <f t="shared" si="895"/>
        <v>0</v>
      </c>
      <c r="N629" s="379">
        <f t="shared" si="896"/>
        <v>0</v>
      </c>
      <c r="O629" s="379">
        <f t="shared" si="897"/>
        <v>0</v>
      </c>
      <c r="P629" s="379">
        <f t="shared" si="898"/>
        <v>0</v>
      </c>
      <c r="Q629" s="379" t="str">
        <f t="shared" si="899"/>
        <v>Y</v>
      </c>
      <c r="R629" s="379" t="str">
        <f t="shared" si="900"/>
        <v>Deniliquin Waste Disposal Facility</v>
      </c>
      <c r="S629" s="379" t="str">
        <f t="shared" si="901"/>
        <v>Blighty Landfll</v>
      </c>
      <c r="T629" s="379" t="str">
        <f t="shared" si="902"/>
        <v>Booroorban Landfill</v>
      </c>
      <c r="U629" s="379" t="str">
        <f t="shared" si="903"/>
        <v>Conargo Landfill</v>
      </c>
      <c r="V629" s="379" t="str">
        <f t="shared" si="904"/>
        <v>Pretty Pine Landfill</v>
      </c>
      <c r="W629" s="379" t="str">
        <f t="shared" si="905"/>
        <v>Wanganella Landfill</v>
      </c>
      <c r="X629" s="379">
        <f t="shared" si="906"/>
        <v>0</v>
      </c>
      <c r="Y629" s="379">
        <f t="shared" si="907"/>
        <v>0</v>
      </c>
      <c r="Z629" s="379">
        <f t="shared" si="908"/>
        <v>0</v>
      </c>
      <c r="AA629" s="379">
        <f t="shared" si="909"/>
        <v>0</v>
      </c>
      <c r="AB629" s="379">
        <f t="shared" si="910"/>
        <v>0</v>
      </c>
      <c r="AC629" s="379">
        <f t="shared" si="911"/>
        <v>0</v>
      </c>
      <c r="AD629" s="379">
        <f t="shared" si="912"/>
        <v>0</v>
      </c>
      <c r="AE629" s="379">
        <f t="shared" si="913"/>
        <v>0</v>
      </c>
      <c r="AF629" s="379">
        <f t="shared" si="914"/>
        <v>0</v>
      </c>
      <c r="AG629" s="379">
        <f t="shared" si="915"/>
        <v>0</v>
      </c>
      <c r="AH629" s="379">
        <f t="shared" si="916"/>
        <v>0</v>
      </c>
      <c r="AI629" s="379">
        <f t="shared" si="917"/>
        <v>0</v>
      </c>
      <c r="AJ629" s="379">
        <f t="shared" si="918"/>
        <v>0</v>
      </c>
      <c r="AK629" s="379">
        <f t="shared" si="919"/>
        <v>0</v>
      </c>
      <c r="AL629" s="379">
        <f t="shared" si="920"/>
        <v>0</v>
      </c>
      <c r="AM629" s="379">
        <f t="shared" si="921"/>
        <v>0</v>
      </c>
      <c r="AN629" s="490">
        <f t="shared" si="922"/>
        <v>0</v>
      </c>
      <c r="AO629" s="379">
        <f t="shared" si="923"/>
        <v>0</v>
      </c>
      <c r="AP629" s="379">
        <f t="shared" si="924"/>
        <v>0</v>
      </c>
      <c r="AQ629" s="379">
        <f t="shared" si="925"/>
        <v>0</v>
      </c>
      <c r="AR629" s="379">
        <f t="shared" si="926"/>
        <v>0</v>
      </c>
      <c r="AS629" s="379">
        <f t="shared" si="927"/>
        <v>0</v>
      </c>
      <c r="AT629" s="379">
        <f t="shared" si="928"/>
        <v>0</v>
      </c>
      <c r="AU629" s="379">
        <f t="shared" si="929"/>
        <v>0</v>
      </c>
      <c r="AV629" s="379">
        <f t="shared" si="930"/>
        <v>0</v>
      </c>
      <c r="AW629" s="379">
        <f t="shared" si="931"/>
        <v>0</v>
      </c>
      <c r="AX629" s="379">
        <f t="shared" si="932"/>
        <v>0</v>
      </c>
      <c r="AY629" s="379">
        <f t="shared" si="933"/>
        <v>0</v>
      </c>
    </row>
    <row r="630" spans="1:51" x14ac:dyDescent="0.2">
      <c r="A630" s="376">
        <v>12870</v>
      </c>
      <c r="B630" s="378" t="str">
        <f t="shared" si="886"/>
        <v>Federation (A)</v>
      </c>
      <c r="C630" s="377" t="str">
        <f t="shared" si="887"/>
        <v>RAMROC Murray</v>
      </c>
      <c r="D630" s="503" t="str">
        <f t="shared" si="888"/>
        <v>N</v>
      </c>
      <c r="E630" s="503"/>
      <c r="F630"/>
      <c r="G630" s="379">
        <f t="shared" si="889"/>
        <v>12569</v>
      </c>
      <c r="H630" s="379">
        <f t="shared" si="890"/>
        <v>6857</v>
      </c>
      <c r="I630" s="379">
        <f t="shared" si="891"/>
        <v>270</v>
      </c>
      <c r="J630" s="379" t="str">
        <f t="shared" si="892"/>
        <v>Y</v>
      </c>
      <c r="K630" s="379">
        <f t="shared" si="893"/>
        <v>6727</v>
      </c>
      <c r="L630" s="379">
        <f t="shared" si="894"/>
        <v>0</v>
      </c>
      <c r="M630" s="379">
        <f t="shared" si="895"/>
        <v>6058</v>
      </c>
      <c r="N630" s="379">
        <f t="shared" si="896"/>
        <v>0</v>
      </c>
      <c r="O630" s="379">
        <f t="shared" si="897"/>
        <v>6058</v>
      </c>
      <c r="P630" s="379">
        <f t="shared" si="898"/>
        <v>0</v>
      </c>
      <c r="Q630" s="379" t="str">
        <f t="shared" si="899"/>
        <v>Y</v>
      </c>
      <c r="R630" s="379" t="str">
        <f t="shared" si="900"/>
        <v>Corowa Landfill</v>
      </c>
      <c r="S630" s="379" t="str">
        <f t="shared" si="901"/>
        <v>Howlong Landfill</v>
      </c>
      <c r="T630" s="379" t="str">
        <f t="shared" si="902"/>
        <v>Mulwala Transfer station</v>
      </c>
      <c r="U630" s="379" t="str">
        <f t="shared" si="903"/>
        <v>Oaklands Tip</v>
      </c>
      <c r="V630" s="379" t="str">
        <f t="shared" si="904"/>
        <v>Urana Tip</v>
      </c>
      <c r="W630" s="379">
        <f t="shared" si="905"/>
        <v>0</v>
      </c>
      <c r="X630" s="379">
        <f t="shared" si="906"/>
        <v>0</v>
      </c>
      <c r="Y630" s="379">
        <f t="shared" si="907"/>
        <v>0</v>
      </c>
      <c r="Z630" s="379">
        <f t="shared" si="908"/>
        <v>0</v>
      </c>
      <c r="AA630" s="379">
        <f t="shared" si="909"/>
        <v>0</v>
      </c>
      <c r="AB630" s="379">
        <f t="shared" si="910"/>
        <v>0</v>
      </c>
      <c r="AC630" s="379">
        <f t="shared" si="911"/>
        <v>0</v>
      </c>
      <c r="AD630" s="379">
        <f t="shared" si="912"/>
        <v>0</v>
      </c>
      <c r="AE630" s="379">
        <f t="shared" si="913"/>
        <v>0</v>
      </c>
      <c r="AF630" s="379">
        <f t="shared" si="914"/>
        <v>0</v>
      </c>
      <c r="AG630" s="379">
        <f t="shared" si="915"/>
        <v>0</v>
      </c>
      <c r="AH630" s="379">
        <f t="shared" si="916"/>
        <v>0</v>
      </c>
      <c r="AI630" s="379">
        <f t="shared" si="917"/>
        <v>0</v>
      </c>
      <c r="AJ630" s="379">
        <f t="shared" si="918"/>
        <v>0</v>
      </c>
      <c r="AK630" s="379">
        <f t="shared" si="919"/>
        <v>0</v>
      </c>
      <c r="AL630" s="379">
        <f t="shared" si="920"/>
        <v>0</v>
      </c>
      <c r="AM630" s="379">
        <f t="shared" si="921"/>
        <v>0</v>
      </c>
      <c r="AN630" s="490">
        <f t="shared" si="922"/>
        <v>0</v>
      </c>
      <c r="AO630" s="379">
        <f t="shared" si="923"/>
        <v>0</v>
      </c>
      <c r="AP630" s="379">
        <f t="shared" si="924"/>
        <v>0</v>
      </c>
      <c r="AQ630" s="379">
        <f t="shared" si="925"/>
        <v>0</v>
      </c>
      <c r="AR630" s="379">
        <f t="shared" si="926"/>
        <v>0</v>
      </c>
      <c r="AS630" s="379">
        <f t="shared" si="927"/>
        <v>0</v>
      </c>
      <c r="AT630" s="379">
        <f t="shared" si="928"/>
        <v>0</v>
      </c>
      <c r="AU630" s="379">
        <f t="shared" si="929"/>
        <v>0</v>
      </c>
      <c r="AV630" s="379">
        <f t="shared" si="930"/>
        <v>0</v>
      </c>
      <c r="AW630" s="379">
        <f t="shared" si="931"/>
        <v>0</v>
      </c>
      <c r="AX630" s="379">
        <f t="shared" si="932"/>
        <v>0</v>
      </c>
      <c r="AY630" s="379">
        <f t="shared" si="933"/>
        <v>0</v>
      </c>
    </row>
    <row r="631" spans="1:51" x14ac:dyDescent="0.2">
      <c r="A631" s="376">
        <v>15520</v>
      </c>
      <c r="B631" s="378" t="str">
        <f t="shared" si="886"/>
        <v>Murray River (A)</v>
      </c>
      <c r="C631" s="377" t="str">
        <f t="shared" si="887"/>
        <v>RAMROC Murray</v>
      </c>
      <c r="D631" s="503" t="str">
        <f t="shared" si="888"/>
        <v>N</v>
      </c>
      <c r="E631" s="503"/>
      <c r="F631"/>
      <c r="G631" s="379">
        <f t="shared" si="889"/>
        <v>11596</v>
      </c>
      <c r="H631" s="379">
        <f t="shared" si="890"/>
        <v>5283</v>
      </c>
      <c r="I631" s="379">
        <f t="shared" si="891"/>
        <v>198.99</v>
      </c>
      <c r="J631" s="379" t="str">
        <f t="shared" si="892"/>
        <v>Y</v>
      </c>
      <c r="K631" s="379">
        <f t="shared" si="893"/>
        <v>4763</v>
      </c>
      <c r="L631" s="379">
        <f t="shared" si="894"/>
        <v>0</v>
      </c>
      <c r="M631" s="379">
        <f t="shared" si="895"/>
        <v>4680</v>
      </c>
      <c r="N631" s="379">
        <f t="shared" si="896"/>
        <v>0</v>
      </c>
      <c r="O631" s="379">
        <f t="shared" si="897"/>
        <v>0</v>
      </c>
      <c r="P631" s="379">
        <f t="shared" si="898"/>
        <v>0</v>
      </c>
      <c r="Q631" s="379" t="str">
        <f t="shared" si="899"/>
        <v>Y</v>
      </c>
      <c r="R631" s="379" t="str">
        <f t="shared" si="900"/>
        <v>Mathoura Transfer Station</v>
      </c>
      <c r="S631" s="379" t="str">
        <f t="shared" si="901"/>
        <v>Moama Landfill</v>
      </c>
      <c r="T631" s="379" t="str">
        <f t="shared" si="902"/>
        <v>Barham Transfer Station</v>
      </c>
      <c r="U631" s="379" t="str">
        <f t="shared" si="903"/>
        <v>Wakool Landfill</v>
      </c>
      <c r="V631" s="379" t="str">
        <f t="shared" si="904"/>
        <v>Goodnight Landfill</v>
      </c>
      <c r="W631" s="379" t="str">
        <f t="shared" si="905"/>
        <v>Moulamein/Kooraleigh Landfill</v>
      </c>
      <c r="X631" s="379">
        <f t="shared" si="906"/>
        <v>0</v>
      </c>
      <c r="Y631" s="379">
        <f t="shared" si="907"/>
        <v>0</v>
      </c>
      <c r="Z631" s="379">
        <f t="shared" si="908"/>
        <v>0</v>
      </c>
      <c r="AA631" s="379">
        <f t="shared" si="909"/>
        <v>0</v>
      </c>
      <c r="AB631" s="379">
        <f t="shared" si="910"/>
        <v>0</v>
      </c>
      <c r="AC631" s="379">
        <f t="shared" si="911"/>
        <v>0</v>
      </c>
      <c r="AD631" s="379">
        <f t="shared" si="912"/>
        <v>0</v>
      </c>
      <c r="AE631" s="379">
        <f t="shared" si="913"/>
        <v>0</v>
      </c>
      <c r="AF631" s="379">
        <f t="shared" si="914"/>
        <v>0</v>
      </c>
      <c r="AG631" s="379">
        <f t="shared" si="915"/>
        <v>0</v>
      </c>
      <c r="AH631" s="379">
        <f t="shared" si="916"/>
        <v>0</v>
      </c>
      <c r="AI631" s="379">
        <f t="shared" si="917"/>
        <v>0</v>
      </c>
      <c r="AJ631" s="379">
        <f t="shared" si="918"/>
        <v>0</v>
      </c>
      <c r="AK631" s="379">
        <f t="shared" si="919"/>
        <v>0</v>
      </c>
      <c r="AL631" s="379">
        <f t="shared" si="920"/>
        <v>0</v>
      </c>
      <c r="AM631" s="379">
        <f t="shared" si="921"/>
        <v>0</v>
      </c>
      <c r="AN631" s="490">
        <f t="shared" si="922"/>
        <v>0</v>
      </c>
      <c r="AO631" s="379">
        <f t="shared" si="923"/>
        <v>0</v>
      </c>
      <c r="AP631" s="379">
        <f t="shared" si="924"/>
        <v>0</v>
      </c>
      <c r="AQ631" s="379">
        <f t="shared" si="925"/>
        <v>0</v>
      </c>
      <c r="AR631" s="379">
        <f t="shared" si="926"/>
        <v>0</v>
      </c>
      <c r="AS631" s="379">
        <f t="shared" si="927"/>
        <v>0</v>
      </c>
      <c r="AT631" s="379">
        <f t="shared" si="928"/>
        <v>0</v>
      </c>
      <c r="AU631" s="379">
        <f t="shared" si="929"/>
        <v>0</v>
      </c>
      <c r="AV631" s="379">
        <f t="shared" si="930"/>
        <v>0</v>
      </c>
      <c r="AW631" s="379">
        <f t="shared" si="931"/>
        <v>0</v>
      </c>
      <c r="AX631" s="379">
        <f t="shared" si="932"/>
        <v>0</v>
      </c>
      <c r="AY631" s="379">
        <f t="shared" si="933"/>
        <v>0</v>
      </c>
    </row>
    <row r="632" spans="1:51" ht="13.5" thickBot="1" x14ac:dyDescent="0.25">
      <c r="A632" s="376">
        <v>18200</v>
      </c>
      <c r="B632" s="378" t="str">
        <f t="shared" si="886"/>
        <v>Wentworth (A)</v>
      </c>
      <c r="C632" s="377" t="str">
        <f t="shared" si="887"/>
        <v>RAMROC Murray</v>
      </c>
      <c r="D632" s="503" t="str">
        <f t="shared" si="888"/>
        <v>N</v>
      </c>
      <c r="E632" s="503"/>
      <c r="F632"/>
      <c r="G632" s="379">
        <f t="shared" si="889"/>
        <v>6962</v>
      </c>
      <c r="H632" s="379">
        <f t="shared" si="890"/>
        <v>2705</v>
      </c>
      <c r="I632" s="379">
        <f t="shared" si="891"/>
        <v>225</v>
      </c>
      <c r="J632" s="379" t="str">
        <f t="shared" si="892"/>
        <v>Y</v>
      </c>
      <c r="K632" s="379">
        <f t="shared" si="893"/>
        <v>2880</v>
      </c>
      <c r="L632" s="379">
        <f t="shared" si="894"/>
        <v>0</v>
      </c>
      <c r="M632" s="379">
        <f t="shared" si="895"/>
        <v>0</v>
      </c>
      <c r="N632" s="379">
        <f t="shared" si="896"/>
        <v>0</v>
      </c>
      <c r="O632" s="379">
        <f t="shared" si="897"/>
        <v>0</v>
      </c>
      <c r="P632" s="379" t="str">
        <f t="shared" si="898"/>
        <v>Y</v>
      </c>
      <c r="Q632" s="379" t="str">
        <f t="shared" si="899"/>
        <v>Y</v>
      </c>
      <c r="R632" s="379" t="str">
        <f t="shared" si="900"/>
        <v>Wentworth Transfer Station</v>
      </c>
      <c r="S632" s="379" t="str">
        <f t="shared" si="901"/>
        <v>Dareton Transfer station</v>
      </c>
      <c r="T632" s="379" t="str">
        <f t="shared" si="902"/>
        <v>Ellerslie Tip</v>
      </c>
      <c r="U632" s="379" t="str">
        <f t="shared" si="903"/>
        <v>Pomona Tip</v>
      </c>
      <c r="V632" s="379" t="str">
        <f t="shared" si="904"/>
        <v>Pooncarie Tip</v>
      </c>
      <c r="W632" s="379" t="str">
        <f t="shared" si="905"/>
        <v>Buronga Landfill</v>
      </c>
      <c r="X632" s="379">
        <f t="shared" si="906"/>
        <v>0</v>
      </c>
      <c r="Y632" s="379">
        <f t="shared" si="907"/>
        <v>0</v>
      </c>
      <c r="Z632" s="379">
        <f t="shared" si="908"/>
        <v>0</v>
      </c>
      <c r="AA632" s="379">
        <f t="shared" si="909"/>
        <v>0</v>
      </c>
      <c r="AB632" s="379">
        <f t="shared" si="910"/>
        <v>0</v>
      </c>
      <c r="AC632" s="379">
        <f t="shared" si="911"/>
        <v>0</v>
      </c>
      <c r="AD632" s="379">
        <f t="shared" si="912"/>
        <v>0</v>
      </c>
      <c r="AE632" s="379">
        <f t="shared" si="913"/>
        <v>0</v>
      </c>
      <c r="AF632" s="379">
        <f t="shared" si="914"/>
        <v>0</v>
      </c>
      <c r="AG632" s="379">
        <f t="shared" si="915"/>
        <v>0</v>
      </c>
      <c r="AH632" s="379">
        <f t="shared" si="916"/>
        <v>0</v>
      </c>
      <c r="AI632" s="379">
        <f t="shared" si="917"/>
        <v>0</v>
      </c>
      <c r="AJ632" s="379">
        <f t="shared" si="918"/>
        <v>0</v>
      </c>
      <c r="AK632" s="379">
        <f t="shared" si="919"/>
        <v>0</v>
      </c>
      <c r="AL632" s="379">
        <f t="shared" si="920"/>
        <v>0</v>
      </c>
      <c r="AM632" s="379">
        <f t="shared" si="921"/>
        <v>0</v>
      </c>
      <c r="AN632" s="490">
        <f t="shared" si="922"/>
        <v>0</v>
      </c>
      <c r="AO632" s="379">
        <f t="shared" si="923"/>
        <v>0</v>
      </c>
      <c r="AP632" s="379">
        <f t="shared" si="924"/>
        <v>0</v>
      </c>
      <c r="AQ632" s="379">
        <f t="shared" si="925"/>
        <v>0</v>
      </c>
      <c r="AR632" s="379">
        <f t="shared" si="926"/>
        <v>0</v>
      </c>
      <c r="AS632" s="379">
        <f t="shared" si="927"/>
        <v>0</v>
      </c>
      <c r="AT632" s="379">
        <f t="shared" si="928"/>
        <v>0</v>
      </c>
      <c r="AU632" s="379">
        <f t="shared" si="929"/>
        <v>0</v>
      </c>
      <c r="AV632" s="379">
        <f t="shared" si="930"/>
        <v>0</v>
      </c>
      <c r="AW632" s="379">
        <f t="shared" si="931"/>
        <v>0</v>
      </c>
      <c r="AX632" s="379">
        <f t="shared" si="932"/>
        <v>0</v>
      </c>
      <c r="AY632" s="379">
        <f t="shared" si="933"/>
        <v>0</v>
      </c>
    </row>
    <row r="633" spans="1:51" ht="13.5" thickTop="1" x14ac:dyDescent="0.2">
      <c r="A633" s="380"/>
      <c r="B633" s="380"/>
      <c r="C633" s="380" t="s">
        <v>264</v>
      </c>
      <c r="D633" s="380"/>
      <c r="E633" s="484"/>
      <c r="F633" s="381"/>
      <c r="G633" s="382">
        <f t="shared" ref="G633:AY633" si="934">COUNTIF(G626:G632,"&gt;0")</f>
        <v>7</v>
      </c>
      <c r="H633" s="382">
        <f t="shared" si="934"/>
        <v>7</v>
      </c>
      <c r="I633" s="382">
        <f t="shared" si="934"/>
        <v>7</v>
      </c>
      <c r="J633" s="382">
        <f t="shared" si="934"/>
        <v>0</v>
      </c>
      <c r="K633" s="382">
        <f t="shared" si="934"/>
        <v>7</v>
      </c>
      <c r="L633" s="382">
        <f t="shared" si="934"/>
        <v>0</v>
      </c>
      <c r="M633" s="382">
        <f t="shared" si="934"/>
        <v>4</v>
      </c>
      <c r="N633" s="382">
        <f t="shared" si="934"/>
        <v>0</v>
      </c>
      <c r="O633" s="382">
        <f t="shared" si="934"/>
        <v>2</v>
      </c>
      <c r="P633" s="382">
        <f t="shared" si="934"/>
        <v>0</v>
      </c>
      <c r="Q633" s="382">
        <f t="shared" si="934"/>
        <v>0</v>
      </c>
      <c r="R633" s="382">
        <f t="shared" si="934"/>
        <v>0</v>
      </c>
      <c r="S633" s="382">
        <f t="shared" si="934"/>
        <v>0</v>
      </c>
      <c r="T633" s="382">
        <f t="shared" si="934"/>
        <v>0</v>
      </c>
      <c r="U633" s="382">
        <f t="shared" si="934"/>
        <v>0</v>
      </c>
      <c r="V633" s="382">
        <f t="shared" si="934"/>
        <v>0</v>
      </c>
      <c r="W633" s="382">
        <f t="shared" si="934"/>
        <v>0</v>
      </c>
      <c r="X633" s="382">
        <f t="shared" si="934"/>
        <v>0</v>
      </c>
      <c r="Y633" s="382">
        <f t="shared" si="934"/>
        <v>0</v>
      </c>
      <c r="Z633" s="382">
        <f t="shared" si="934"/>
        <v>0</v>
      </c>
      <c r="AA633" s="382">
        <f t="shared" si="934"/>
        <v>0</v>
      </c>
      <c r="AB633" s="382">
        <f t="shared" si="934"/>
        <v>0</v>
      </c>
      <c r="AC633" s="382">
        <f t="shared" si="934"/>
        <v>0</v>
      </c>
      <c r="AD633" s="382">
        <f t="shared" si="934"/>
        <v>0</v>
      </c>
      <c r="AE633" s="382">
        <f t="shared" si="934"/>
        <v>0</v>
      </c>
      <c r="AF633" s="382">
        <f t="shared" si="934"/>
        <v>0</v>
      </c>
      <c r="AG633" s="382">
        <f t="shared" si="934"/>
        <v>0</v>
      </c>
      <c r="AH633" s="382">
        <f t="shared" si="934"/>
        <v>0</v>
      </c>
      <c r="AI633" s="382">
        <f t="shared" si="934"/>
        <v>0</v>
      </c>
      <c r="AJ633" s="382">
        <f t="shared" si="934"/>
        <v>0</v>
      </c>
      <c r="AK633" s="382">
        <f t="shared" si="934"/>
        <v>0</v>
      </c>
      <c r="AL633" s="382">
        <f t="shared" si="934"/>
        <v>0</v>
      </c>
      <c r="AM633" s="382">
        <f t="shared" si="934"/>
        <v>0</v>
      </c>
      <c r="AN633" s="485">
        <f t="shared" si="934"/>
        <v>0</v>
      </c>
      <c r="AO633" s="382">
        <f t="shared" si="934"/>
        <v>0</v>
      </c>
      <c r="AP633" s="382">
        <f t="shared" si="934"/>
        <v>0</v>
      </c>
      <c r="AQ633" s="382">
        <f t="shared" si="934"/>
        <v>0</v>
      </c>
      <c r="AR633" s="382">
        <f t="shared" si="934"/>
        <v>0</v>
      </c>
      <c r="AS633" s="382">
        <f t="shared" si="934"/>
        <v>0</v>
      </c>
      <c r="AT633" s="382">
        <f t="shared" si="934"/>
        <v>0</v>
      </c>
      <c r="AU633" s="382">
        <f t="shared" si="934"/>
        <v>0</v>
      </c>
      <c r="AV633" s="382">
        <f t="shared" si="934"/>
        <v>0</v>
      </c>
      <c r="AW633" s="382">
        <f t="shared" si="934"/>
        <v>0</v>
      </c>
      <c r="AX633" s="382">
        <f t="shared" si="934"/>
        <v>0</v>
      </c>
      <c r="AY633" s="382">
        <f t="shared" si="934"/>
        <v>0</v>
      </c>
    </row>
    <row r="634" spans="1:51" x14ac:dyDescent="0.2">
      <c r="A634" s="376"/>
      <c r="B634" s="376"/>
      <c r="C634" s="376" t="s">
        <v>265</v>
      </c>
      <c r="D634" s="376"/>
      <c r="E634" s="488"/>
      <c r="F634" s="384"/>
      <c r="G634" s="385">
        <f t="shared" ref="G634:AY634" si="935">SUM(G626:G632)</f>
        <v>103219</v>
      </c>
      <c r="H634" s="385">
        <f t="shared" si="935"/>
        <v>45142</v>
      </c>
      <c r="I634" s="385">
        <f t="shared" si="935"/>
        <v>1871.49</v>
      </c>
      <c r="J634" s="385">
        <f t="shared" si="935"/>
        <v>0</v>
      </c>
      <c r="K634" s="385">
        <f t="shared" si="935"/>
        <v>44865</v>
      </c>
      <c r="L634" s="385">
        <f t="shared" si="935"/>
        <v>0</v>
      </c>
      <c r="M634" s="385">
        <f t="shared" si="935"/>
        <v>37106</v>
      </c>
      <c r="N634" s="385">
        <f t="shared" si="935"/>
        <v>0</v>
      </c>
      <c r="O634" s="385">
        <f t="shared" si="935"/>
        <v>29022</v>
      </c>
      <c r="P634" s="385">
        <f t="shared" si="935"/>
        <v>0</v>
      </c>
      <c r="Q634" s="385">
        <f t="shared" si="935"/>
        <v>0</v>
      </c>
      <c r="R634" s="385">
        <f t="shared" si="935"/>
        <v>0</v>
      </c>
      <c r="S634" s="385">
        <f t="shared" si="935"/>
        <v>0</v>
      </c>
      <c r="T634" s="385">
        <f t="shared" si="935"/>
        <v>0</v>
      </c>
      <c r="U634" s="385">
        <f t="shared" si="935"/>
        <v>0</v>
      </c>
      <c r="V634" s="385">
        <f t="shared" si="935"/>
        <v>0</v>
      </c>
      <c r="W634" s="385">
        <f t="shared" si="935"/>
        <v>0</v>
      </c>
      <c r="X634" s="385">
        <f t="shared" si="935"/>
        <v>0</v>
      </c>
      <c r="Y634" s="385">
        <f t="shared" si="935"/>
        <v>0</v>
      </c>
      <c r="Z634" s="385">
        <f t="shared" si="935"/>
        <v>0</v>
      </c>
      <c r="AA634" s="385">
        <f t="shared" si="935"/>
        <v>0</v>
      </c>
      <c r="AB634" s="385">
        <f t="shared" si="935"/>
        <v>0</v>
      </c>
      <c r="AC634" s="385">
        <f t="shared" si="935"/>
        <v>0</v>
      </c>
      <c r="AD634" s="385">
        <f t="shared" si="935"/>
        <v>0</v>
      </c>
      <c r="AE634" s="385">
        <f t="shared" si="935"/>
        <v>0</v>
      </c>
      <c r="AF634" s="385">
        <f t="shared" si="935"/>
        <v>0</v>
      </c>
      <c r="AG634" s="385">
        <f t="shared" si="935"/>
        <v>0</v>
      </c>
      <c r="AH634" s="385">
        <f t="shared" si="935"/>
        <v>0</v>
      </c>
      <c r="AI634" s="385">
        <f t="shared" si="935"/>
        <v>0</v>
      </c>
      <c r="AJ634" s="385">
        <f t="shared" si="935"/>
        <v>0</v>
      </c>
      <c r="AK634" s="385">
        <f t="shared" si="935"/>
        <v>0</v>
      </c>
      <c r="AL634" s="385">
        <f t="shared" si="935"/>
        <v>0</v>
      </c>
      <c r="AM634" s="385">
        <f t="shared" si="935"/>
        <v>0</v>
      </c>
      <c r="AN634" s="489">
        <f t="shared" si="935"/>
        <v>0</v>
      </c>
      <c r="AO634" s="385">
        <f t="shared" si="935"/>
        <v>0</v>
      </c>
      <c r="AP634" s="385">
        <f t="shared" si="935"/>
        <v>0</v>
      </c>
      <c r="AQ634" s="385">
        <f t="shared" si="935"/>
        <v>0</v>
      </c>
      <c r="AR634" s="385">
        <f t="shared" si="935"/>
        <v>0</v>
      </c>
      <c r="AS634" s="385">
        <f t="shared" si="935"/>
        <v>0</v>
      </c>
      <c r="AT634" s="385">
        <f t="shared" si="935"/>
        <v>0</v>
      </c>
      <c r="AU634" s="385">
        <f t="shared" si="935"/>
        <v>0</v>
      </c>
      <c r="AV634" s="385">
        <f t="shared" si="935"/>
        <v>0</v>
      </c>
      <c r="AW634" s="385">
        <f t="shared" si="935"/>
        <v>0</v>
      </c>
      <c r="AX634" s="385">
        <f t="shared" si="935"/>
        <v>0</v>
      </c>
      <c r="AY634" s="385">
        <f t="shared" si="935"/>
        <v>0</v>
      </c>
    </row>
    <row r="635" spans="1:51" x14ac:dyDescent="0.2">
      <c r="A635" s="376"/>
      <c r="B635" s="376"/>
      <c r="C635" s="376" t="s">
        <v>266</v>
      </c>
      <c r="D635" s="376"/>
      <c r="E635" s="488"/>
      <c r="F635" s="384"/>
      <c r="G635" s="379">
        <f t="shared" ref="G635:AY635" si="936">MIN(G626:G632)</f>
        <v>2385</v>
      </c>
      <c r="H635" s="379">
        <f t="shared" si="936"/>
        <v>1674</v>
      </c>
      <c r="I635" s="379">
        <f t="shared" si="936"/>
        <v>198.99</v>
      </c>
      <c r="J635" s="379">
        <f t="shared" si="936"/>
        <v>0</v>
      </c>
      <c r="K635" s="379">
        <f t="shared" si="936"/>
        <v>708</v>
      </c>
      <c r="L635" s="379">
        <f t="shared" si="936"/>
        <v>0</v>
      </c>
      <c r="M635" s="379">
        <f t="shared" si="936"/>
        <v>0</v>
      </c>
      <c r="N635" s="379">
        <f t="shared" si="936"/>
        <v>0</v>
      </c>
      <c r="O635" s="379">
        <f t="shared" si="936"/>
        <v>0</v>
      </c>
      <c r="P635" s="379">
        <f t="shared" si="936"/>
        <v>0</v>
      </c>
      <c r="Q635" s="379">
        <f t="shared" si="936"/>
        <v>0</v>
      </c>
      <c r="R635" s="379">
        <f t="shared" si="936"/>
        <v>0</v>
      </c>
      <c r="S635" s="379">
        <f t="shared" si="936"/>
        <v>0</v>
      </c>
      <c r="T635" s="379">
        <f t="shared" si="936"/>
        <v>0</v>
      </c>
      <c r="U635" s="379">
        <f t="shared" si="936"/>
        <v>0</v>
      </c>
      <c r="V635" s="379">
        <f t="shared" si="936"/>
        <v>0</v>
      </c>
      <c r="W635" s="379">
        <f t="shared" si="936"/>
        <v>0</v>
      </c>
      <c r="X635" s="379">
        <f t="shared" si="936"/>
        <v>0</v>
      </c>
      <c r="Y635" s="379">
        <f t="shared" si="936"/>
        <v>0</v>
      </c>
      <c r="Z635" s="379">
        <f t="shared" si="936"/>
        <v>0</v>
      </c>
      <c r="AA635" s="379">
        <f t="shared" si="936"/>
        <v>0</v>
      </c>
      <c r="AB635" s="379">
        <f t="shared" si="936"/>
        <v>0</v>
      </c>
      <c r="AC635" s="379">
        <f t="shared" si="936"/>
        <v>0</v>
      </c>
      <c r="AD635" s="379">
        <f t="shared" si="936"/>
        <v>0</v>
      </c>
      <c r="AE635" s="379">
        <f t="shared" si="936"/>
        <v>0</v>
      </c>
      <c r="AF635" s="379">
        <f t="shared" si="936"/>
        <v>0</v>
      </c>
      <c r="AG635" s="379">
        <f t="shared" si="936"/>
        <v>0</v>
      </c>
      <c r="AH635" s="379">
        <f t="shared" si="936"/>
        <v>0</v>
      </c>
      <c r="AI635" s="379">
        <f t="shared" si="936"/>
        <v>0</v>
      </c>
      <c r="AJ635" s="379">
        <f t="shared" si="936"/>
        <v>0</v>
      </c>
      <c r="AK635" s="379">
        <f t="shared" si="936"/>
        <v>0</v>
      </c>
      <c r="AL635" s="379">
        <f t="shared" si="936"/>
        <v>0</v>
      </c>
      <c r="AM635" s="379">
        <f t="shared" si="936"/>
        <v>0</v>
      </c>
      <c r="AN635" s="490">
        <f t="shared" si="936"/>
        <v>0</v>
      </c>
      <c r="AO635" s="379">
        <f t="shared" si="936"/>
        <v>0</v>
      </c>
      <c r="AP635" s="379">
        <f t="shared" si="936"/>
        <v>0</v>
      </c>
      <c r="AQ635" s="379">
        <f t="shared" si="936"/>
        <v>0</v>
      </c>
      <c r="AR635" s="379">
        <f t="shared" si="936"/>
        <v>0</v>
      </c>
      <c r="AS635" s="379">
        <f t="shared" si="936"/>
        <v>0</v>
      </c>
      <c r="AT635" s="379">
        <f t="shared" si="936"/>
        <v>0</v>
      </c>
      <c r="AU635" s="379">
        <f t="shared" si="936"/>
        <v>0</v>
      </c>
      <c r="AV635" s="379">
        <f t="shared" si="936"/>
        <v>0</v>
      </c>
      <c r="AW635" s="379">
        <f t="shared" si="936"/>
        <v>0</v>
      </c>
      <c r="AX635" s="379">
        <f t="shared" si="936"/>
        <v>0</v>
      </c>
      <c r="AY635" s="379">
        <f t="shared" si="936"/>
        <v>0</v>
      </c>
    </row>
    <row r="636" spans="1:51" x14ac:dyDescent="0.2">
      <c r="A636" s="376"/>
      <c r="B636" s="376"/>
      <c r="C636" s="376" t="s">
        <v>267</v>
      </c>
      <c r="D636" s="376"/>
      <c r="E636" s="488"/>
      <c r="F636" s="384"/>
      <c r="G636" s="379">
        <f t="shared" ref="G636:AY636" si="937">MAX(G626:G632)</f>
        <v>52411</v>
      </c>
      <c r="H636" s="379">
        <f t="shared" si="937"/>
        <v>21678</v>
      </c>
      <c r="I636" s="379">
        <f t="shared" si="937"/>
        <v>343.5</v>
      </c>
      <c r="J636" s="379">
        <f t="shared" si="937"/>
        <v>0</v>
      </c>
      <c r="K636" s="379">
        <f t="shared" si="937"/>
        <v>22964</v>
      </c>
      <c r="L636" s="379">
        <f t="shared" si="937"/>
        <v>0</v>
      </c>
      <c r="M636" s="379">
        <f t="shared" si="937"/>
        <v>22964</v>
      </c>
      <c r="N636" s="379">
        <f t="shared" si="937"/>
        <v>0</v>
      </c>
      <c r="O636" s="379">
        <f t="shared" si="937"/>
        <v>22964</v>
      </c>
      <c r="P636" s="379">
        <f t="shared" si="937"/>
        <v>0</v>
      </c>
      <c r="Q636" s="379">
        <f t="shared" si="937"/>
        <v>0</v>
      </c>
      <c r="R636" s="379">
        <f t="shared" si="937"/>
        <v>0</v>
      </c>
      <c r="S636" s="379">
        <f t="shared" si="937"/>
        <v>0</v>
      </c>
      <c r="T636" s="379">
        <f t="shared" si="937"/>
        <v>0</v>
      </c>
      <c r="U636" s="379">
        <f t="shared" si="937"/>
        <v>0</v>
      </c>
      <c r="V636" s="379">
        <f t="shared" si="937"/>
        <v>0</v>
      </c>
      <c r="W636" s="379">
        <f t="shared" si="937"/>
        <v>0</v>
      </c>
      <c r="X636" s="379">
        <f t="shared" si="937"/>
        <v>0</v>
      </c>
      <c r="Y636" s="379">
        <f t="shared" si="937"/>
        <v>0</v>
      </c>
      <c r="Z636" s="379">
        <f t="shared" si="937"/>
        <v>0</v>
      </c>
      <c r="AA636" s="379">
        <f t="shared" si="937"/>
        <v>0</v>
      </c>
      <c r="AB636" s="379">
        <f t="shared" si="937"/>
        <v>0</v>
      </c>
      <c r="AC636" s="379">
        <f t="shared" si="937"/>
        <v>0</v>
      </c>
      <c r="AD636" s="379">
        <f t="shared" si="937"/>
        <v>0</v>
      </c>
      <c r="AE636" s="379">
        <f t="shared" si="937"/>
        <v>0</v>
      </c>
      <c r="AF636" s="379">
        <f t="shared" si="937"/>
        <v>0</v>
      </c>
      <c r="AG636" s="379">
        <f t="shared" si="937"/>
        <v>0</v>
      </c>
      <c r="AH636" s="379">
        <f t="shared" si="937"/>
        <v>0</v>
      </c>
      <c r="AI636" s="379">
        <f t="shared" si="937"/>
        <v>0</v>
      </c>
      <c r="AJ636" s="379">
        <f t="shared" si="937"/>
        <v>0</v>
      </c>
      <c r="AK636" s="379">
        <f t="shared" si="937"/>
        <v>0</v>
      </c>
      <c r="AL636" s="379">
        <f t="shared" si="937"/>
        <v>0</v>
      </c>
      <c r="AM636" s="379">
        <f t="shared" si="937"/>
        <v>0</v>
      </c>
      <c r="AN636" s="490">
        <f t="shared" si="937"/>
        <v>0</v>
      </c>
      <c r="AO636" s="379">
        <f t="shared" si="937"/>
        <v>0</v>
      </c>
      <c r="AP636" s="379">
        <f t="shared" si="937"/>
        <v>0</v>
      </c>
      <c r="AQ636" s="379">
        <f t="shared" si="937"/>
        <v>0</v>
      </c>
      <c r="AR636" s="379">
        <f t="shared" si="937"/>
        <v>0</v>
      </c>
      <c r="AS636" s="379">
        <f t="shared" si="937"/>
        <v>0</v>
      </c>
      <c r="AT636" s="379">
        <f t="shared" si="937"/>
        <v>0</v>
      </c>
      <c r="AU636" s="379">
        <f t="shared" si="937"/>
        <v>0</v>
      </c>
      <c r="AV636" s="379">
        <f t="shared" si="937"/>
        <v>0</v>
      </c>
      <c r="AW636" s="379">
        <f t="shared" si="937"/>
        <v>0</v>
      </c>
      <c r="AX636" s="379">
        <f t="shared" si="937"/>
        <v>0</v>
      </c>
      <c r="AY636" s="379">
        <f t="shared" si="937"/>
        <v>0</v>
      </c>
    </row>
    <row r="637" spans="1:51" x14ac:dyDescent="0.2">
      <c r="A637" s="376"/>
      <c r="B637" s="376"/>
      <c r="C637" s="376" t="s">
        <v>268</v>
      </c>
      <c r="D637" s="376"/>
      <c r="E637" s="488"/>
      <c r="F637" s="384"/>
      <c r="G637" s="379">
        <f t="shared" ref="G637:AY637" si="938">AVERAGE(G626:G632)</f>
        <v>14745.571428571429</v>
      </c>
      <c r="H637" s="379">
        <f t="shared" si="938"/>
        <v>6448.8571428571431</v>
      </c>
      <c r="I637" s="379">
        <f t="shared" si="938"/>
        <v>267.35571428571427</v>
      </c>
      <c r="J637" s="379" t="e">
        <f t="shared" si="938"/>
        <v>#DIV/0!</v>
      </c>
      <c r="K637" s="379">
        <f t="shared" si="938"/>
        <v>6409.2857142857147</v>
      </c>
      <c r="L637" s="379">
        <f t="shared" si="938"/>
        <v>0</v>
      </c>
      <c r="M637" s="379">
        <f t="shared" si="938"/>
        <v>5300.8571428571431</v>
      </c>
      <c r="N637" s="379">
        <f t="shared" si="938"/>
        <v>0</v>
      </c>
      <c r="O637" s="379">
        <f t="shared" si="938"/>
        <v>4146</v>
      </c>
      <c r="P637" s="379">
        <f t="shared" si="938"/>
        <v>0</v>
      </c>
      <c r="Q637" s="379" t="e">
        <f t="shared" si="938"/>
        <v>#DIV/0!</v>
      </c>
      <c r="R637" s="379" t="e">
        <f t="shared" si="938"/>
        <v>#DIV/0!</v>
      </c>
      <c r="S637" s="379">
        <f t="shared" si="938"/>
        <v>0</v>
      </c>
      <c r="T637" s="379">
        <f t="shared" si="938"/>
        <v>0</v>
      </c>
      <c r="U637" s="379">
        <f t="shared" si="938"/>
        <v>0</v>
      </c>
      <c r="V637" s="379">
        <f t="shared" si="938"/>
        <v>0</v>
      </c>
      <c r="W637" s="379">
        <f t="shared" si="938"/>
        <v>0</v>
      </c>
      <c r="X637" s="379">
        <f t="shared" si="938"/>
        <v>0</v>
      </c>
      <c r="Y637" s="379">
        <f t="shared" si="938"/>
        <v>0</v>
      </c>
      <c r="Z637" s="379">
        <f t="shared" si="938"/>
        <v>0</v>
      </c>
      <c r="AA637" s="379">
        <f t="shared" si="938"/>
        <v>0</v>
      </c>
      <c r="AB637" s="379">
        <f t="shared" si="938"/>
        <v>0</v>
      </c>
      <c r="AC637" s="379">
        <f t="shared" si="938"/>
        <v>0</v>
      </c>
      <c r="AD637" s="379">
        <f t="shared" si="938"/>
        <v>0</v>
      </c>
      <c r="AE637" s="379">
        <f t="shared" si="938"/>
        <v>0</v>
      </c>
      <c r="AF637" s="379">
        <f t="shared" si="938"/>
        <v>0</v>
      </c>
      <c r="AG637" s="379">
        <f t="shared" si="938"/>
        <v>0</v>
      </c>
      <c r="AH637" s="379">
        <f t="shared" si="938"/>
        <v>0</v>
      </c>
      <c r="AI637" s="379">
        <f t="shared" si="938"/>
        <v>0</v>
      </c>
      <c r="AJ637" s="379">
        <f t="shared" si="938"/>
        <v>0</v>
      </c>
      <c r="AK637" s="379">
        <f t="shared" si="938"/>
        <v>0</v>
      </c>
      <c r="AL637" s="379">
        <f t="shared" si="938"/>
        <v>0</v>
      </c>
      <c r="AM637" s="379">
        <f t="shared" si="938"/>
        <v>0</v>
      </c>
      <c r="AN637" s="490">
        <f t="shared" si="938"/>
        <v>0</v>
      </c>
      <c r="AO637" s="379">
        <f t="shared" si="938"/>
        <v>0</v>
      </c>
      <c r="AP637" s="379">
        <f t="shared" si="938"/>
        <v>0</v>
      </c>
      <c r="AQ637" s="379">
        <f t="shared" si="938"/>
        <v>0</v>
      </c>
      <c r="AR637" s="379">
        <f t="shared" si="938"/>
        <v>0</v>
      </c>
      <c r="AS637" s="379">
        <f t="shared" si="938"/>
        <v>0</v>
      </c>
      <c r="AT637" s="379">
        <f t="shared" si="938"/>
        <v>0</v>
      </c>
      <c r="AU637" s="379">
        <f t="shared" si="938"/>
        <v>0</v>
      </c>
      <c r="AV637" s="379">
        <f t="shared" si="938"/>
        <v>0</v>
      </c>
      <c r="AW637" s="379">
        <f t="shared" si="938"/>
        <v>0</v>
      </c>
      <c r="AX637" s="379">
        <f t="shared" si="938"/>
        <v>0</v>
      </c>
      <c r="AY637" s="379">
        <f t="shared" si="938"/>
        <v>0</v>
      </c>
    </row>
    <row r="638" spans="1:51" ht="13.5" thickBot="1" x14ac:dyDescent="0.25">
      <c r="A638" s="386"/>
      <c r="B638" s="386"/>
      <c r="C638" s="386" t="s">
        <v>269</v>
      </c>
      <c r="D638" s="386"/>
      <c r="E638" s="491"/>
      <c r="F638" s="384"/>
      <c r="G638" s="388">
        <f t="shared" ref="G638:AY638" si="939">MEDIAN(G626:G632)</f>
        <v>8876</v>
      </c>
      <c r="H638" s="388">
        <f t="shared" si="939"/>
        <v>3549</v>
      </c>
      <c r="I638" s="388">
        <f t="shared" si="939"/>
        <v>270</v>
      </c>
      <c r="J638" s="388" t="e">
        <f t="shared" si="939"/>
        <v>#NUM!</v>
      </c>
      <c r="K638" s="388">
        <f t="shared" si="939"/>
        <v>3419</v>
      </c>
      <c r="L638" s="388">
        <f t="shared" si="939"/>
        <v>0</v>
      </c>
      <c r="M638" s="388">
        <f t="shared" si="939"/>
        <v>3404</v>
      </c>
      <c r="N638" s="388">
        <f t="shared" si="939"/>
        <v>0</v>
      </c>
      <c r="O638" s="388">
        <f t="shared" si="939"/>
        <v>0</v>
      </c>
      <c r="P638" s="388">
        <f t="shared" si="939"/>
        <v>0</v>
      </c>
      <c r="Q638" s="388" t="e">
        <f t="shared" si="939"/>
        <v>#NUM!</v>
      </c>
      <c r="R638" s="388" t="e">
        <f t="shared" si="939"/>
        <v>#NUM!</v>
      </c>
      <c r="S638" s="388">
        <f t="shared" si="939"/>
        <v>0</v>
      </c>
      <c r="T638" s="388">
        <f t="shared" si="939"/>
        <v>0</v>
      </c>
      <c r="U638" s="388">
        <f t="shared" si="939"/>
        <v>0</v>
      </c>
      <c r="V638" s="388">
        <f t="shared" si="939"/>
        <v>0</v>
      </c>
      <c r="W638" s="388">
        <f t="shared" si="939"/>
        <v>0</v>
      </c>
      <c r="X638" s="388">
        <f t="shared" si="939"/>
        <v>0</v>
      </c>
      <c r="Y638" s="388">
        <f t="shared" si="939"/>
        <v>0</v>
      </c>
      <c r="Z638" s="388">
        <f t="shared" si="939"/>
        <v>0</v>
      </c>
      <c r="AA638" s="388">
        <f t="shared" si="939"/>
        <v>0</v>
      </c>
      <c r="AB638" s="388">
        <f t="shared" si="939"/>
        <v>0</v>
      </c>
      <c r="AC638" s="388">
        <f t="shared" si="939"/>
        <v>0</v>
      </c>
      <c r="AD638" s="388">
        <f t="shared" si="939"/>
        <v>0</v>
      </c>
      <c r="AE638" s="388">
        <f t="shared" si="939"/>
        <v>0</v>
      </c>
      <c r="AF638" s="388">
        <f t="shared" si="939"/>
        <v>0</v>
      </c>
      <c r="AG638" s="388">
        <f t="shared" si="939"/>
        <v>0</v>
      </c>
      <c r="AH638" s="388">
        <f t="shared" si="939"/>
        <v>0</v>
      </c>
      <c r="AI638" s="388">
        <f t="shared" si="939"/>
        <v>0</v>
      </c>
      <c r="AJ638" s="388">
        <f t="shared" si="939"/>
        <v>0</v>
      </c>
      <c r="AK638" s="388">
        <f t="shared" si="939"/>
        <v>0</v>
      </c>
      <c r="AL638" s="388">
        <f t="shared" si="939"/>
        <v>0</v>
      </c>
      <c r="AM638" s="388">
        <f t="shared" si="939"/>
        <v>0</v>
      </c>
      <c r="AN638" s="492">
        <f t="shared" si="939"/>
        <v>0</v>
      </c>
      <c r="AO638" s="388">
        <f t="shared" si="939"/>
        <v>0</v>
      </c>
      <c r="AP638" s="388">
        <f t="shared" si="939"/>
        <v>0</v>
      </c>
      <c r="AQ638" s="388">
        <f t="shared" si="939"/>
        <v>0</v>
      </c>
      <c r="AR638" s="388">
        <f t="shared" si="939"/>
        <v>0</v>
      </c>
      <c r="AS638" s="388">
        <f t="shared" si="939"/>
        <v>0</v>
      </c>
      <c r="AT638" s="388">
        <f t="shared" si="939"/>
        <v>0</v>
      </c>
      <c r="AU638" s="388">
        <f t="shared" si="939"/>
        <v>0</v>
      </c>
      <c r="AV638" s="388">
        <f t="shared" si="939"/>
        <v>0</v>
      </c>
      <c r="AW638" s="388">
        <f t="shared" si="939"/>
        <v>0</v>
      </c>
      <c r="AX638" s="388">
        <f t="shared" si="939"/>
        <v>0</v>
      </c>
      <c r="AY638" s="388">
        <f t="shared" si="939"/>
        <v>0</v>
      </c>
    </row>
    <row r="639" spans="1:51" ht="13.5" thickTop="1" x14ac:dyDescent="0.2"/>
    <row r="640" spans="1:51" ht="13.5" thickBot="1" x14ac:dyDescent="0.25">
      <c r="A640" s="400"/>
      <c r="B640" s="400"/>
      <c r="C640" s="402" t="s">
        <v>270</v>
      </c>
      <c r="D640" s="402"/>
      <c r="E640" s="503"/>
    </row>
    <row r="641" spans="1:51" ht="13.5" thickTop="1" x14ac:dyDescent="0.2">
      <c r="A641" s="542">
        <v>11650</v>
      </c>
      <c r="B641" s="378" t="str">
        <f t="shared" ref="B641:B650" si="940">VLOOKUP($A641,$A$5:$L$133,2,FALSE)</f>
        <v>Central Coast (C) (NSW)</v>
      </c>
      <c r="C641" s="377" t="str">
        <f t="shared" ref="C641:C650" si="941">VLOOKUP($A641,$A$5:$L$133,3,FALSE)</f>
        <v>Hunter</v>
      </c>
      <c r="D641" s="503" t="str">
        <f t="shared" ref="D641:D650" si="942">VLOOKUP($A641,$A$5:$L$133,4,FALSE)</f>
        <v>E</v>
      </c>
      <c r="E641" s="503"/>
      <c r="F641"/>
      <c r="G641" s="379">
        <f t="shared" ref="G641:G650" si="943">VLOOKUP($A641,$A$5:$AY$132,7,FALSE)</f>
        <v>334857</v>
      </c>
      <c r="H641" s="379">
        <f t="shared" ref="H641:H650" si="944">VLOOKUP($A641,$A$5:$AY$132,8,FALSE)</f>
        <v>130469</v>
      </c>
      <c r="I641" s="379">
        <f t="shared" ref="I641:I650" si="945">VLOOKUP($A641,$A$5:$AY$132,9,FALSE)</f>
        <v>447</v>
      </c>
      <c r="J641" s="379" t="str">
        <f t="shared" ref="J641:J650" si="946">VLOOKUP($A641,$A$5:$AY$132,10,FALSE)</f>
        <v>Y</v>
      </c>
      <c r="K641" s="379">
        <f t="shared" ref="K641:K650" si="947">VLOOKUP($A641,$A$5:$AY$132,11,FALSE)</f>
        <v>131869</v>
      </c>
      <c r="L641" s="379">
        <f t="shared" ref="L641:L650" si="948">VLOOKUP($A641,$A$5:$AY$132,12,FALSE)</f>
        <v>0</v>
      </c>
      <c r="M641" s="379">
        <f t="shared" ref="M641:M650" si="949">VLOOKUP($A641,$A$4:$AY$132,13,FALSE)</f>
        <v>132191</v>
      </c>
      <c r="N641" s="379">
        <f t="shared" ref="N641:N650" si="950">VLOOKUP($A641,$A$4:$AY$132,14,FALSE)</f>
        <v>123590</v>
      </c>
      <c r="O641" s="379">
        <f t="shared" ref="O641:O650" si="951">VLOOKUP($A641,$A$4:$AY$132,15,FALSE)</f>
        <v>0</v>
      </c>
      <c r="P641" s="379" t="str">
        <f t="shared" ref="P641:P650" si="952">VLOOKUP($A641,$A$4:$AY$132,16,FALSE)</f>
        <v>Y</v>
      </c>
      <c r="Q641" s="379" t="str">
        <f t="shared" ref="Q641:Q650" si="953">VLOOKUP($A641,$A$4:$AY$132,17,FALSE)</f>
        <v>Y</v>
      </c>
      <c r="R641" s="379" t="str">
        <f t="shared" ref="R641:R650" si="954">VLOOKUP($A641,$A$4:$AY$132,18,FALSE)</f>
        <v>Buttonderrry</v>
      </c>
      <c r="S641" s="379" t="str">
        <f t="shared" ref="S641:S650" si="955">VLOOKUP($A641,$A$4:$AY$132,19,FALSE)</f>
        <v>Kincumber</v>
      </c>
      <c r="T641" s="379" t="str">
        <f t="shared" ref="T641:T650" si="956">VLOOKUP($A641,$A$4:$AY$132,20,FALSE)</f>
        <v>Woy Woy</v>
      </c>
      <c r="U641" s="379">
        <f t="shared" ref="U641:U650" si="957">VLOOKUP($A641,$A$4:$AY$132,21,FALSE)</f>
        <v>0</v>
      </c>
      <c r="V641" s="379">
        <f t="shared" ref="V641:V650" si="958">VLOOKUP($A641,$A$4:$AY$132,22,FALSE)</f>
        <v>0</v>
      </c>
      <c r="W641" s="379">
        <f t="shared" ref="W641:W650" si="959">VLOOKUP($A641,$A$4:$AY$132,23,FALSE)</f>
        <v>0</v>
      </c>
      <c r="X641" s="379">
        <f t="shared" ref="X641:X650" si="960">VLOOKUP($A641,$A$4:$AY$132,24,FALSE)</f>
        <v>0</v>
      </c>
      <c r="Y641" s="379">
        <f t="shared" ref="Y641:Y650" si="961">VLOOKUP($A641,$A$4:$AY$132,25,FALSE)</f>
        <v>0</v>
      </c>
      <c r="Z641" s="379">
        <f t="shared" ref="Z641:Z650" si="962">VLOOKUP($A641,$A$4:$AY$132,26,FALSE)</f>
        <v>0</v>
      </c>
      <c r="AA641" s="379">
        <f t="shared" ref="AA641:AA650" si="963">VLOOKUP($A641,$A$4:$AY$132,27,FALSE)</f>
        <v>0</v>
      </c>
      <c r="AB641" s="379">
        <f t="shared" ref="AB641:AB650" si="964">VLOOKUP($A641,$A$4:$AY$132,28,FALSE)</f>
        <v>0</v>
      </c>
      <c r="AC641" s="379">
        <f t="shared" ref="AC641:AC650" si="965">VLOOKUP($A641,$A$4:$AY$132,29,FALSE)</f>
        <v>0</v>
      </c>
      <c r="AD641" s="379">
        <f t="shared" ref="AD641:AD650" si="966">VLOOKUP($A641,$A$4:$AY$132,30,FALSE)</f>
        <v>0</v>
      </c>
      <c r="AE641" s="379">
        <f t="shared" ref="AE641:AE650" si="967">VLOOKUP($A641,$A$4:$AY$132,31,FALSE)</f>
        <v>0</v>
      </c>
      <c r="AF641" s="379">
        <f t="shared" ref="AF641:AF650" si="968">VLOOKUP($A641,$A$4:$AY$132,32,FALSE)</f>
        <v>0</v>
      </c>
      <c r="AG641" s="379">
        <f t="shared" ref="AG641:AG650" si="969">VLOOKUP($A641,$A$4:$AY$132,33,FALSE)</f>
        <v>0</v>
      </c>
      <c r="AH641" s="379">
        <f t="shared" ref="AH641:AH650" si="970">VLOOKUP($A641,$A$4:$AY$132,34,FALSE)</f>
        <v>0</v>
      </c>
      <c r="AI641" s="379">
        <f t="shared" ref="AI641:AI650" si="971">VLOOKUP($A641,$A$4:$AY$132,35,FALSE)</f>
        <v>0</v>
      </c>
      <c r="AJ641" s="379">
        <f t="shared" ref="AJ641:AJ650" si="972">VLOOKUP($A641,$A$4:$AY$132,36,FALSE)</f>
        <v>0</v>
      </c>
      <c r="AK641" s="379">
        <f t="shared" ref="AK641:AK650" si="973">VLOOKUP($A641,$A$4:$AY$132,37,FALSE)</f>
        <v>0</v>
      </c>
      <c r="AL641" s="379">
        <f t="shared" ref="AL641:AL650" si="974">VLOOKUP($A641,$A$4:$AY$132,38,FALSE)</f>
        <v>0</v>
      </c>
      <c r="AM641" s="379">
        <f t="shared" ref="AM641:AM650" si="975">VLOOKUP($A641,$A$4:$AY$132,39,FALSE)</f>
        <v>0</v>
      </c>
      <c r="AN641" s="490">
        <f t="shared" ref="AN641:AN650" si="976">VLOOKUP($A641,$A$4:$AY$132,40,FALSE)</f>
        <v>0</v>
      </c>
      <c r="AO641" s="379">
        <f t="shared" ref="AO641:AO650" si="977">VLOOKUP($A641,$A$4:$AY$132,41,FALSE)</f>
        <v>0</v>
      </c>
      <c r="AP641" s="379">
        <f t="shared" ref="AP641:AP650" si="978">VLOOKUP($A641,$A$4:$AY$132,42,FALSE)</f>
        <v>0</v>
      </c>
      <c r="AQ641" s="379">
        <f t="shared" ref="AQ641:AQ650" si="979">VLOOKUP($A641,$A$4:$AY$132,43,FALSE)</f>
        <v>0</v>
      </c>
      <c r="AR641" s="379">
        <f t="shared" ref="AR641:AR650" si="980">VLOOKUP($A641,$A$4:$AY$132,44,FALSE)</f>
        <v>0</v>
      </c>
      <c r="AS641" s="379">
        <f t="shared" ref="AS641:AS650" si="981">VLOOKUP($A641,$A$4:$AY$132,45,FALSE)</f>
        <v>0</v>
      </c>
      <c r="AT641" s="379">
        <f t="shared" ref="AT641:AT650" si="982">VLOOKUP($A641,$A$4:$AY$132,46,FALSE)</f>
        <v>0</v>
      </c>
      <c r="AU641" s="379">
        <f t="shared" ref="AU641:AU650" si="983">VLOOKUP($A641,$A$4:$AY$132,47,FALSE)</f>
        <v>0</v>
      </c>
      <c r="AV641" s="379">
        <f t="shared" ref="AV641:AV650" si="984">VLOOKUP($A641,$A$4:$AY$132,48,FALSE)</f>
        <v>0</v>
      </c>
      <c r="AW641" s="379">
        <f t="shared" ref="AW641:AW650" si="985">VLOOKUP($A641,$A$4:$AY$132,49,FALSE)</f>
        <v>0</v>
      </c>
      <c r="AX641" s="379">
        <f t="shared" ref="AX641:AX650" si="986">VLOOKUP($A641,$A$4:$AY$132,50,FALSE)</f>
        <v>0</v>
      </c>
      <c r="AY641" s="379">
        <f t="shared" ref="AY641:AY650" si="987">VLOOKUP($A641,$A$4:$AY$132,51,FALSE)</f>
        <v>0</v>
      </c>
    </row>
    <row r="642" spans="1:51" x14ac:dyDescent="0.2">
      <c r="A642" s="376">
        <v>11720</v>
      </c>
      <c r="B642" s="378" t="str">
        <f t="shared" si="940"/>
        <v>Cessnock (C)</v>
      </c>
      <c r="C642" s="377" t="str">
        <f t="shared" si="941"/>
        <v>Hunter</v>
      </c>
      <c r="D642" s="503" t="str">
        <f t="shared" si="942"/>
        <v>E</v>
      </c>
      <c r="E642" s="503"/>
      <c r="F642"/>
      <c r="G642" s="379">
        <f t="shared" si="943"/>
        <v>56532</v>
      </c>
      <c r="H642" s="379">
        <f t="shared" si="944"/>
        <v>24194</v>
      </c>
      <c r="I642" s="379">
        <f t="shared" si="945"/>
        <v>540</v>
      </c>
      <c r="J642" s="379" t="str">
        <f t="shared" si="946"/>
        <v>Y</v>
      </c>
      <c r="K642" s="379">
        <f t="shared" si="947"/>
        <v>21230</v>
      </c>
      <c r="L642" s="379">
        <f t="shared" si="948"/>
        <v>0</v>
      </c>
      <c r="M642" s="379">
        <f t="shared" si="949"/>
        <v>21230</v>
      </c>
      <c r="N642" s="379">
        <f t="shared" si="950"/>
        <v>21230</v>
      </c>
      <c r="O642" s="379">
        <f t="shared" si="951"/>
        <v>0</v>
      </c>
      <c r="P642" s="379">
        <f t="shared" si="952"/>
        <v>0</v>
      </c>
      <c r="Q642" s="379" t="str">
        <f t="shared" si="953"/>
        <v>Y</v>
      </c>
      <c r="R642" s="379" t="str">
        <f t="shared" si="954"/>
        <v>Cessnock Waste Management Centre</v>
      </c>
      <c r="S642" s="379">
        <f t="shared" si="955"/>
        <v>0</v>
      </c>
      <c r="T642" s="379">
        <f t="shared" si="956"/>
        <v>0</v>
      </c>
      <c r="U642" s="379">
        <f t="shared" si="957"/>
        <v>0</v>
      </c>
      <c r="V642" s="379">
        <f t="shared" si="958"/>
        <v>0</v>
      </c>
      <c r="W642" s="379">
        <f t="shared" si="959"/>
        <v>0</v>
      </c>
      <c r="X642" s="379">
        <f t="shared" si="960"/>
        <v>0</v>
      </c>
      <c r="Y642" s="379">
        <f t="shared" si="961"/>
        <v>0</v>
      </c>
      <c r="Z642" s="379">
        <f t="shared" si="962"/>
        <v>0</v>
      </c>
      <c r="AA642" s="379">
        <f t="shared" si="963"/>
        <v>0</v>
      </c>
      <c r="AB642" s="379">
        <f t="shared" si="964"/>
        <v>0</v>
      </c>
      <c r="AC642" s="379">
        <f t="shared" si="965"/>
        <v>0</v>
      </c>
      <c r="AD642" s="379">
        <f t="shared" si="966"/>
        <v>0</v>
      </c>
      <c r="AE642" s="379">
        <f t="shared" si="967"/>
        <v>0</v>
      </c>
      <c r="AF642" s="379">
        <f t="shared" si="968"/>
        <v>0</v>
      </c>
      <c r="AG642" s="379">
        <f t="shared" si="969"/>
        <v>0</v>
      </c>
      <c r="AH642" s="379">
        <f t="shared" si="970"/>
        <v>0</v>
      </c>
      <c r="AI642" s="379">
        <f t="shared" si="971"/>
        <v>0</v>
      </c>
      <c r="AJ642" s="379">
        <f t="shared" si="972"/>
        <v>0</v>
      </c>
      <c r="AK642" s="379">
        <f t="shared" si="973"/>
        <v>0</v>
      </c>
      <c r="AL642" s="379">
        <f t="shared" si="974"/>
        <v>0</v>
      </c>
      <c r="AM642" s="379">
        <f t="shared" si="975"/>
        <v>0</v>
      </c>
      <c r="AN642" s="490">
        <f t="shared" si="976"/>
        <v>0</v>
      </c>
      <c r="AO642" s="379">
        <f t="shared" si="977"/>
        <v>0</v>
      </c>
      <c r="AP642" s="379">
        <f t="shared" si="978"/>
        <v>0</v>
      </c>
      <c r="AQ642" s="379">
        <f t="shared" si="979"/>
        <v>0</v>
      </c>
      <c r="AR642" s="379">
        <f t="shared" si="980"/>
        <v>0</v>
      </c>
      <c r="AS642" s="379">
        <f t="shared" si="981"/>
        <v>0</v>
      </c>
      <c r="AT642" s="379">
        <f t="shared" si="982"/>
        <v>0</v>
      </c>
      <c r="AU642" s="379">
        <f t="shared" si="983"/>
        <v>0</v>
      </c>
      <c r="AV642" s="379">
        <f t="shared" si="984"/>
        <v>0</v>
      </c>
      <c r="AW642" s="379">
        <f t="shared" si="985"/>
        <v>0</v>
      </c>
      <c r="AX642" s="379">
        <f t="shared" si="986"/>
        <v>0</v>
      </c>
      <c r="AY642" s="379">
        <f t="shared" si="987"/>
        <v>0</v>
      </c>
    </row>
    <row r="643" spans="1:51" x14ac:dyDescent="0.2">
      <c r="A643" s="376">
        <v>12700</v>
      </c>
      <c r="B643" s="378" t="str">
        <f t="shared" si="940"/>
        <v>Dungog (A)</v>
      </c>
      <c r="C643" s="377" t="str">
        <f t="shared" si="941"/>
        <v>Hunter</v>
      </c>
      <c r="D643" s="503" t="str">
        <f t="shared" si="942"/>
        <v>R</v>
      </c>
      <c r="E643" s="503"/>
      <c r="F643"/>
      <c r="G643" s="379">
        <f t="shared" si="943"/>
        <v>9323</v>
      </c>
      <c r="H643" s="379">
        <f t="shared" si="944"/>
        <v>5283</v>
      </c>
      <c r="I643" s="379">
        <f t="shared" si="945"/>
        <v>386.9</v>
      </c>
      <c r="J643" s="379" t="str">
        <f t="shared" si="946"/>
        <v>Y</v>
      </c>
      <c r="K643" s="379">
        <f t="shared" si="947"/>
        <v>3545</v>
      </c>
      <c r="L643" s="379">
        <f t="shared" si="948"/>
        <v>0</v>
      </c>
      <c r="M643" s="379">
        <f t="shared" si="949"/>
        <v>3521</v>
      </c>
      <c r="N643" s="379">
        <f t="shared" si="950"/>
        <v>0</v>
      </c>
      <c r="O643" s="379">
        <f t="shared" si="951"/>
        <v>0</v>
      </c>
      <c r="P643" s="379" t="str">
        <f t="shared" si="952"/>
        <v>Y</v>
      </c>
      <c r="Q643" s="379" t="str">
        <f t="shared" si="953"/>
        <v>Y</v>
      </c>
      <c r="R643" s="379" t="str">
        <f t="shared" si="954"/>
        <v>Dungog Waste Management facility</v>
      </c>
      <c r="S643" s="379">
        <f t="shared" si="955"/>
        <v>0</v>
      </c>
      <c r="T643" s="379">
        <f t="shared" si="956"/>
        <v>0</v>
      </c>
      <c r="U643" s="379">
        <f t="shared" si="957"/>
        <v>0</v>
      </c>
      <c r="V643" s="379">
        <f t="shared" si="958"/>
        <v>0</v>
      </c>
      <c r="W643" s="379">
        <f t="shared" si="959"/>
        <v>0</v>
      </c>
      <c r="X643" s="379">
        <f t="shared" si="960"/>
        <v>0</v>
      </c>
      <c r="Y643" s="379">
        <f t="shared" si="961"/>
        <v>0</v>
      </c>
      <c r="Z643" s="379">
        <f t="shared" si="962"/>
        <v>0</v>
      </c>
      <c r="AA643" s="379">
        <f t="shared" si="963"/>
        <v>0</v>
      </c>
      <c r="AB643" s="379">
        <f t="shared" si="964"/>
        <v>0</v>
      </c>
      <c r="AC643" s="379">
        <f t="shared" si="965"/>
        <v>0</v>
      </c>
      <c r="AD643" s="379">
        <f t="shared" si="966"/>
        <v>0</v>
      </c>
      <c r="AE643" s="379">
        <f t="shared" si="967"/>
        <v>0</v>
      </c>
      <c r="AF643" s="379">
        <f t="shared" si="968"/>
        <v>0</v>
      </c>
      <c r="AG643" s="379">
        <f t="shared" si="969"/>
        <v>0</v>
      </c>
      <c r="AH643" s="379">
        <f t="shared" si="970"/>
        <v>0</v>
      </c>
      <c r="AI643" s="379">
        <f t="shared" si="971"/>
        <v>0</v>
      </c>
      <c r="AJ643" s="379">
        <f t="shared" si="972"/>
        <v>0</v>
      </c>
      <c r="AK643" s="379">
        <f t="shared" si="973"/>
        <v>0</v>
      </c>
      <c r="AL643" s="379">
        <f t="shared" si="974"/>
        <v>0</v>
      </c>
      <c r="AM643" s="379">
        <f t="shared" si="975"/>
        <v>0</v>
      </c>
      <c r="AN643" s="490">
        <f t="shared" si="976"/>
        <v>0</v>
      </c>
      <c r="AO643" s="379">
        <f t="shared" si="977"/>
        <v>0</v>
      </c>
      <c r="AP643" s="379">
        <f t="shared" si="978"/>
        <v>0</v>
      </c>
      <c r="AQ643" s="379">
        <f t="shared" si="979"/>
        <v>0</v>
      </c>
      <c r="AR643" s="379">
        <f t="shared" si="980"/>
        <v>0</v>
      </c>
      <c r="AS643" s="379">
        <f t="shared" si="981"/>
        <v>0</v>
      </c>
      <c r="AT643" s="379">
        <f t="shared" si="982"/>
        <v>0</v>
      </c>
      <c r="AU643" s="379">
        <f t="shared" si="983"/>
        <v>0</v>
      </c>
      <c r="AV643" s="379">
        <f t="shared" si="984"/>
        <v>0</v>
      </c>
      <c r="AW643" s="379">
        <f t="shared" si="985"/>
        <v>0</v>
      </c>
      <c r="AX643" s="379">
        <f t="shared" si="986"/>
        <v>0</v>
      </c>
      <c r="AY643" s="379">
        <f t="shared" si="987"/>
        <v>0</v>
      </c>
    </row>
    <row r="644" spans="1:51" x14ac:dyDescent="0.2">
      <c r="A644" s="376">
        <v>14650</v>
      </c>
      <c r="B644" s="378" t="str">
        <f t="shared" si="940"/>
        <v>Lake Macquarie (C)</v>
      </c>
      <c r="C644" s="377" t="str">
        <f t="shared" si="941"/>
        <v>Hunter</v>
      </c>
      <c r="D644" s="503" t="str">
        <f t="shared" si="942"/>
        <v>E</v>
      </c>
      <c r="E644" s="503"/>
      <c r="F644"/>
      <c r="G644" s="379">
        <f t="shared" si="943"/>
        <v>205748</v>
      </c>
      <c r="H644" s="379">
        <f t="shared" si="944"/>
        <v>77737</v>
      </c>
      <c r="I644" s="379">
        <f t="shared" si="945"/>
        <v>419</v>
      </c>
      <c r="J644" s="379" t="str">
        <f t="shared" si="946"/>
        <v>Y</v>
      </c>
      <c r="K644" s="379">
        <f t="shared" si="947"/>
        <v>77089</v>
      </c>
      <c r="L644" s="379">
        <f t="shared" si="948"/>
        <v>0</v>
      </c>
      <c r="M644" s="379">
        <f t="shared" si="949"/>
        <v>75962</v>
      </c>
      <c r="N644" s="379">
        <f t="shared" si="950"/>
        <v>75962</v>
      </c>
      <c r="O644" s="379">
        <f t="shared" si="951"/>
        <v>0</v>
      </c>
      <c r="P644" s="379" t="str">
        <f t="shared" si="952"/>
        <v>Y</v>
      </c>
      <c r="Q644" s="379" t="str">
        <f t="shared" si="953"/>
        <v>Y</v>
      </c>
      <c r="R644" s="379" t="str">
        <f t="shared" si="954"/>
        <v>CRC - Toxfree Awaba</v>
      </c>
      <c r="S644" s="379" t="str">
        <f t="shared" si="955"/>
        <v>Mattresses Awaba</v>
      </c>
      <c r="T644" s="379" t="str">
        <f t="shared" si="956"/>
        <v>Green Waste drop off - Awaba</v>
      </c>
      <c r="U644" s="379" t="str">
        <f t="shared" si="957"/>
        <v>Public Place Sharps</v>
      </c>
      <c r="V644" s="379" t="str">
        <f t="shared" si="958"/>
        <v>Landfill - Awaba</v>
      </c>
      <c r="W644" s="379" t="str">
        <f t="shared" si="959"/>
        <v>E-waste/Metals/Other</v>
      </c>
      <c r="X644" s="379">
        <f t="shared" si="960"/>
        <v>0</v>
      </c>
      <c r="Y644" s="379">
        <f t="shared" si="961"/>
        <v>0</v>
      </c>
      <c r="Z644" s="379">
        <f t="shared" si="962"/>
        <v>0</v>
      </c>
      <c r="AA644" s="379">
        <f t="shared" si="963"/>
        <v>0</v>
      </c>
      <c r="AB644" s="379">
        <f t="shared" si="964"/>
        <v>0</v>
      </c>
      <c r="AC644" s="379">
        <f t="shared" si="965"/>
        <v>0</v>
      </c>
      <c r="AD644" s="379">
        <f t="shared" si="966"/>
        <v>0</v>
      </c>
      <c r="AE644" s="379">
        <f t="shared" si="967"/>
        <v>0</v>
      </c>
      <c r="AF644" s="379">
        <f t="shared" si="968"/>
        <v>0</v>
      </c>
      <c r="AG644" s="379">
        <f t="shared" si="969"/>
        <v>0</v>
      </c>
      <c r="AH644" s="379">
        <f t="shared" si="970"/>
        <v>0</v>
      </c>
      <c r="AI644" s="379">
        <f t="shared" si="971"/>
        <v>0</v>
      </c>
      <c r="AJ644" s="379">
        <f t="shared" si="972"/>
        <v>0</v>
      </c>
      <c r="AK644" s="379">
        <f t="shared" si="973"/>
        <v>0</v>
      </c>
      <c r="AL644" s="379">
        <f t="shared" si="974"/>
        <v>0</v>
      </c>
      <c r="AM644" s="379">
        <f t="shared" si="975"/>
        <v>0</v>
      </c>
      <c r="AN644" s="490">
        <f t="shared" si="976"/>
        <v>0</v>
      </c>
      <c r="AO644" s="379">
        <f t="shared" si="977"/>
        <v>0</v>
      </c>
      <c r="AP644" s="379">
        <f t="shared" si="978"/>
        <v>0</v>
      </c>
      <c r="AQ644" s="379">
        <f t="shared" si="979"/>
        <v>0</v>
      </c>
      <c r="AR644" s="379">
        <f t="shared" si="980"/>
        <v>0</v>
      </c>
      <c r="AS644" s="379">
        <f t="shared" si="981"/>
        <v>0</v>
      </c>
      <c r="AT644" s="379">
        <f t="shared" si="982"/>
        <v>0</v>
      </c>
      <c r="AU644" s="379">
        <f t="shared" si="983"/>
        <v>0</v>
      </c>
      <c r="AV644" s="379">
        <f t="shared" si="984"/>
        <v>0</v>
      </c>
      <c r="AW644" s="379">
        <f t="shared" si="985"/>
        <v>0</v>
      </c>
      <c r="AX644" s="379">
        <f t="shared" si="986"/>
        <v>0</v>
      </c>
      <c r="AY644" s="379">
        <f t="shared" si="987"/>
        <v>0</v>
      </c>
    </row>
    <row r="645" spans="1:51" x14ac:dyDescent="0.2">
      <c r="A645" s="376">
        <v>15050</v>
      </c>
      <c r="B645" s="378" t="str">
        <f t="shared" si="940"/>
        <v>Maitland (C)</v>
      </c>
      <c r="C645" s="377" t="str">
        <f t="shared" si="941"/>
        <v>Hunter</v>
      </c>
      <c r="D645" s="503" t="str">
        <f t="shared" si="942"/>
        <v>E</v>
      </c>
      <c r="E645" s="503"/>
      <c r="F645"/>
      <c r="G645" s="379">
        <f t="shared" si="943"/>
        <v>78096</v>
      </c>
      <c r="H645" s="379">
        <f t="shared" si="944"/>
        <v>29070</v>
      </c>
      <c r="I645" s="379">
        <f t="shared" si="945"/>
        <v>461.75</v>
      </c>
      <c r="J645" s="379" t="str">
        <f t="shared" si="946"/>
        <v>Y</v>
      </c>
      <c r="K645" s="379">
        <f t="shared" si="947"/>
        <v>29070</v>
      </c>
      <c r="L645" s="379">
        <f t="shared" si="948"/>
        <v>0</v>
      </c>
      <c r="M645" s="379">
        <f t="shared" si="949"/>
        <v>30658</v>
      </c>
      <c r="N645" s="379">
        <f t="shared" si="950"/>
        <v>30333</v>
      </c>
      <c r="O645" s="379">
        <f t="shared" si="951"/>
        <v>0</v>
      </c>
      <c r="P645" s="379">
        <f t="shared" si="952"/>
        <v>0</v>
      </c>
      <c r="Q645" s="379" t="str">
        <f t="shared" si="953"/>
        <v>Y</v>
      </c>
      <c r="R645" s="379" t="str">
        <f t="shared" si="954"/>
        <v>Mt Vincent Rd Waste Management Centre</v>
      </c>
      <c r="S645" s="379">
        <f t="shared" si="955"/>
        <v>0</v>
      </c>
      <c r="T645" s="379">
        <f t="shared" si="956"/>
        <v>0</v>
      </c>
      <c r="U645" s="379">
        <f t="shared" si="957"/>
        <v>0</v>
      </c>
      <c r="V645" s="379">
        <f t="shared" si="958"/>
        <v>0</v>
      </c>
      <c r="W645" s="379">
        <f t="shared" si="959"/>
        <v>0</v>
      </c>
      <c r="X645" s="379">
        <f t="shared" si="960"/>
        <v>0</v>
      </c>
      <c r="Y645" s="379">
        <f t="shared" si="961"/>
        <v>0</v>
      </c>
      <c r="Z645" s="379">
        <f t="shared" si="962"/>
        <v>0</v>
      </c>
      <c r="AA645" s="379">
        <f t="shared" si="963"/>
        <v>0</v>
      </c>
      <c r="AB645" s="379">
        <f t="shared" si="964"/>
        <v>0</v>
      </c>
      <c r="AC645" s="379">
        <f t="shared" si="965"/>
        <v>0</v>
      </c>
      <c r="AD645" s="379">
        <f t="shared" si="966"/>
        <v>0</v>
      </c>
      <c r="AE645" s="379">
        <f t="shared" si="967"/>
        <v>0</v>
      </c>
      <c r="AF645" s="379">
        <f t="shared" si="968"/>
        <v>0</v>
      </c>
      <c r="AG645" s="379">
        <f t="shared" si="969"/>
        <v>0</v>
      </c>
      <c r="AH645" s="379">
        <f t="shared" si="970"/>
        <v>0</v>
      </c>
      <c r="AI645" s="379">
        <f t="shared" si="971"/>
        <v>0</v>
      </c>
      <c r="AJ645" s="379">
        <f t="shared" si="972"/>
        <v>0</v>
      </c>
      <c r="AK645" s="379">
        <f t="shared" si="973"/>
        <v>0</v>
      </c>
      <c r="AL645" s="379">
        <f t="shared" si="974"/>
        <v>0</v>
      </c>
      <c r="AM645" s="379">
        <f t="shared" si="975"/>
        <v>0</v>
      </c>
      <c r="AN645" s="490">
        <f t="shared" si="976"/>
        <v>0</v>
      </c>
      <c r="AO645" s="379">
        <f t="shared" si="977"/>
        <v>0</v>
      </c>
      <c r="AP645" s="379">
        <f t="shared" si="978"/>
        <v>0</v>
      </c>
      <c r="AQ645" s="379">
        <f t="shared" si="979"/>
        <v>0</v>
      </c>
      <c r="AR645" s="379">
        <f t="shared" si="980"/>
        <v>0</v>
      </c>
      <c r="AS645" s="379">
        <f t="shared" si="981"/>
        <v>0</v>
      </c>
      <c r="AT645" s="379">
        <f t="shared" si="982"/>
        <v>0</v>
      </c>
      <c r="AU645" s="379">
        <f t="shared" si="983"/>
        <v>0</v>
      </c>
      <c r="AV645" s="379">
        <f t="shared" si="984"/>
        <v>0</v>
      </c>
      <c r="AW645" s="379">
        <f t="shared" si="985"/>
        <v>0</v>
      </c>
      <c r="AX645" s="379">
        <f t="shared" si="986"/>
        <v>0</v>
      </c>
      <c r="AY645" s="379">
        <f t="shared" si="987"/>
        <v>0</v>
      </c>
    </row>
    <row r="646" spans="1:51" x14ac:dyDescent="0.2">
      <c r="A646" s="376">
        <v>15650</v>
      </c>
      <c r="B646" s="378" t="str">
        <f t="shared" si="940"/>
        <v>Muswellbrook (A)</v>
      </c>
      <c r="C646" s="377" t="str">
        <f t="shared" si="941"/>
        <v>Hunter</v>
      </c>
      <c r="D646" s="503" t="str">
        <f t="shared" si="942"/>
        <v>R</v>
      </c>
      <c r="E646" s="503"/>
      <c r="F646"/>
      <c r="G646" s="379">
        <f t="shared" si="943"/>
        <v>17414</v>
      </c>
      <c r="H646" s="379">
        <f t="shared" si="944"/>
        <v>7314</v>
      </c>
      <c r="I646" s="379">
        <f t="shared" si="945"/>
        <v>361</v>
      </c>
      <c r="J646" s="379" t="str">
        <f t="shared" si="946"/>
        <v>Y</v>
      </c>
      <c r="K646" s="379">
        <f t="shared" si="947"/>
        <v>6699</v>
      </c>
      <c r="L646" s="379">
        <f t="shared" si="948"/>
        <v>0</v>
      </c>
      <c r="M646" s="379">
        <f t="shared" si="949"/>
        <v>6578</v>
      </c>
      <c r="N646" s="379">
        <f t="shared" si="950"/>
        <v>6021</v>
      </c>
      <c r="O646" s="379">
        <f t="shared" si="951"/>
        <v>0</v>
      </c>
      <c r="P646" s="379" t="str">
        <f t="shared" si="952"/>
        <v>Y</v>
      </c>
      <c r="Q646" s="379" t="str">
        <f t="shared" si="953"/>
        <v>Y</v>
      </c>
      <c r="R646" s="379" t="str">
        <f t="shared" si="954"/>
        <v>Muswellbrook Waste &amp; Recycling Facility</v>
      </c>
      <c r="S646" s="379" t="str">
        <f t="shared" si="955"/>
        <v>Denman Transfer Station</v>
      </c>
      <c r="T646" s="379">
        <f t="shared" si="956"/>
        <v>0</v>
      </c>
      <c r="U646" s="379">
        <f t="shared" si="957"/>
        <v>0</v>
      </c>
      <c r="V646" s="379">
        <f t="shared" si="958"/>
        <v>0</v>
      </c>
      <c r="W646" s="379">
        <f t="shared" si="959"/>
        <v>0</v>
      </c>
      <c r="X646" s="379">
        <f t="shared" si="960"/>
        <v>0</v>
      </c>
      <c r="Y646" s="379">
        <f t="shared" si="961"/>
        <v>0</v>
      </c>
      <c r="Z646" s="379">
        <f t="shared" si="962"/>
        <v>0</v>
      </c>
      <c r="AA646" s="379">
        <f t="shared" si="963"/>
        <v>0</v>
      </c>
      <c r="AB646" s="379">
        <f t="shared" si="964"/>
        <v>0</v>
      </c>
      <c r="AC646" s="379">
        <f t="shared" si="965"/>
        <v>0</v>
      </c>
      <c r="AD646" s="379">
        <f t="shared" si="966"/>
        <v>0</v>
      </c>
      <c r="AE646" s="379">
        <f t="shared" si="967"/>
        <v>0</v>
      </c>
      <c r="AF646" s="379">
        <f t="shared" si="968"/>
        <v>0</v>
      </c>
      <c r="AG646" s="379">
        <f t="shared" si="969"/>
        <v>0</v>
      </c>
      <c r="AH646" s="379">
        <f t="shared" si="970"/>
        <v>0</v>
      </c>
      <c r="AI646" s="379">
        <f t="shared" si="971"/>
        <v>0</v>
      </c>
      <c r="AJ646" s="379">
        <f t="shared" si="972"/>
        <v>0</v>
      </c>
      <c r="AK646" s="379">
        <f t="shared" si="973"/>
        <v>0</v>
      </c>
      <c r="AL646" s="379">
        <f t="shared" si="974"/>
        <v>0</v>
      </c>
      <c r="AM646" s="379">
        <f t="shared" si="975"/>
        <v>0</v>
      </c>
      <c r="AN646" s="490">
        <f t="shared" si="976"/>
        <v>0</v>
      </c>
      <c r="AO646" s="379">
        <f t="shared" si="977"/>
        <v>0</v>
      </c>
      <c r="AP646" s="379">
        <f t="shared" si="978"/>
        <v>0</v>
      </c>
      <c r="AQ646" s="379">
        <f t="shared" si="979"/>
        <v>0</v>
      </c>
      <c r="AR646" s="379">
        <f t="shared" si="980"/>
        <v>0</v>
      </c>
      <c r="AS646" s="379">
        <f t="shared" si="981"/>
        <v>0</v>
      </c>
      <c r="AT646" s="379">
        <f t="shared" si="982"/>
        <v>0</v>
      </c>
      <c r="AU646" s="379">
        <f t="shared" si="983"/>
        <v>0</v>
      </c>
      <c r="AV646" s="379">
        <f t="shared" si="984"/>
        <v>0</v>
      </c>
      <c r="AW646" s="379">
        <f t="shared" si="985"/>
        <v>0</v>
      </c>
      <c r="AX646" s="379">
        <f t="shared" si="986"/>
        <v>0</v>
      </c>
      <c r="AY646" s="379">
        <f t="shared" si="987"/>
        <v>0</v>
      </c>
    </row>
    <row r="647" spans="1:51" x14ac:dyDescent="0.2">
      <c r="A647" s="376">
        <v>15900</v>
      </c>
      <c r="B647" s="378" t="str">
        <f t="shared" si="940"/>
        <v>Newcastle (C)</v>
      </c>
      <c r="C647" s="377" t="str">
        <f t="shared" si="941"/>
        <v>Hunter</v>
      </c>
      <c r="D647" s="503" t="str">
        <f t="shared" si="942"/>
        <v>E</v>
      </c>
      <c r="E647" s="503"/>
      <c r="F647"/>
      <c r="G647" s="379">
        <f t="shared" si="943"/>
        <v>162766</v>
      </c>
      <c r="H647" s="379">
        <f t="shared" si="944"/>
        <v>63167</v>
      </c>
      <c r="I647" s="379">
        <f t="shared" si="945"/>
        <v>340.09</v>
      </c>
      <c r="J647" s="379" t="str">
        <f t="shared" si="946"/>
        <v>Y</v>
      </c>
      <c r="K647" s="379">
        <f t="shared" si="947"/>
        <v>63167</v>
      </c>
      <c r="L647" s="379">
        <f t="shared" si="948"/>
        <v>0</v>
      </c>
      <c r="M647" s="379">
        <f t="shared" si="949"/>
        <v>63167</v>
      </c>
      <c r="N647" s="379">
        <f t="shared" si="950"/>
        <v>63463</v>
      </c>
      <c r="O647" s="379">
        <f t="shared" si="951"/>
        <v>0</v>
      </c>
      <c r="P647" s="379" t="str">
        <f t="shared" si="952"/>
        <v>Y</v>
      </c>
      <c r="Q647" s="379" t="str">
        <f t="shared" si="953"/>
        <v>Y</v>
      </c>
      <c r="R647" s="379" t="str">
        <f t="shared" si="954"/>
        <v>Summerhill Waste Management Centre</v>
      </c>
      <c r="S647" s="379" t="str">
        <f t="shared" si="955"/>
        <v>Battery Brokers, Hamilton</v>
      </c>
      <c r="T647" s="379" t="str">
        <f t="shared" si="956"/>
        <v>Matilda's Service Station, Wallsend</v>
      </c>
      <c r="U647" s="379" t="str">
        <f t="shared" si="957"/>
        <v>Council Libraries and Customer Enquiry Centre</v>
      </c>
      <c r="V647" s="379">
        <f t="shared" si="958"/>
        <v>0</v>
      </c>
      <c r="W647" s="379">
        <f t="shared" si="959"/>
        <v>0</v>
      </c>
      <c r="X647" s="379">
        <f t="shared" si="960"/>
        <v>0</v>
      </c>
      <c r="Y647" s="379">
        <f t="shared" si="961"/>
        <v>0</v>
      </c>
      <c r="Z647" s="379">
        <f t="shared" si="962"/>
        <v>0</v>
      </c>
      <c r="AA647" s="379">
        <f t="shared" si="963"/>
        <v>0</v>
      </c>
      <c r="AB647" s="379">
        <f t="shared" si="964"/>
        <v>0</v>
      </c>
      <c r="AC647" s="379">
        <f t="shared" si="965"/>
        <v>0</v>
      </c>
      <c r="AD647" s="379">
        <f t="shared" si="966"/>
        <v>0</v>
      </c>
      <c r="AE647" s="379">
        <f t="shared" si="967"/>
        <v>0</v>
      </c>
      <c r="AF647" s="379">
        <f t="shared" si="968"/>
        <v>0</v>
      </c>
      <c r="AG647" s="379">
        <f t="shared" si="969"/>
        <v>0</v>
      </c>
      <c r="AH647" s="379">
        <f t="shared" si="970"/>
        <v>0</v>
      </c>
      <c r="AI647" s="379">
        <f t="shared" si="971"/>
        <v>0</v>
      </c>
      <c r="AJ647" s="379">
        <f t="shared" si="972"/>
        <v>0</v>
      </c>
      <c r="AK647" s="379">
        <f t="shared" si="973"/>
        <v>0</v>
      </c>
      <c r="AL647" s="379">
        <f t="shared" si="974"/>
        <v>0</v>
      </c>
      <c r="AM647" s="379">
        <f t="shared" si="975"/>
        <v>0</v>
      </c>
      <c r="AN647" s="490">
        <f t="shared" si="976"/>
        <v>0</v>
      </c>
      <c r="AO647" s="379">
        <f t="shared" si="977"/>
        <v>0</v>
      </c>
      <c r="AP647" s="379">
        <f t="shared" si="978"/>
        <v>0</v>
      </c>
      <c r="AQ647" s="379">
        <f t="shared" si="979"/>
        <v>0</v>
      </c>
      <c r="AR647" s="379">
        <f t="shared" si="980"/>
        <v>0</v>
      </c>
      <c r="AS647" s="379">
        <f t="shared" si="981"/>
        <v>0</v>
      </c>
      <c r="AT647" s="379">
        <f t="shared" si="982"/>
        <v>0</v>
      </c>
      <c r="AU647" s="379">
        <f t="shared" si="983"/>
        <v>0</v>
      </c>
      <c r="AV647" s="379">
        <f t="shared" si="984"/>
        <v>0</v>
      </c>
      <c r="AW647" s="379">
        <f t="shared" si="985"/>
        <v>0</v>
      </c>
      <c r="AX647" s="379">
        <f t="shared" si="986"/>
        <v>0</v>
      </c>
      <c r="AY647" s="379">
        <f t="shared" si="987"/>
        <v>0</v>
      </c>
    </row>
    <row r="648" spans="1:51" x14ac:dyDescent="0.2">
      <c r="A648" s="376">
        <v>16400</v>
      </c>
      <c r="B648" s="378" t="str">
        <f t="shared" si="940"/>
        <v>Port Stephens (A)</v>
      </c>
      <c r="C648" s="377" t="str">
        <f t="shared" si="941"/>
        <v>Hunter</v>
      </c>
      <c r="D648" s="503" t="str">
        <f t="shared" si="942"/>
        <v>E</v>
      </c>
      <c r="E648" s="503"/>
      <c r="F648"/>
      <c r="G648" s="379">
        <f t="shared" si="943"/>
        <v>71406</v>
      </c>
      <c r="H648" s="379">
        <f t="shared" si="944"/>
        <v>31649</v>
      </c>
      <c r="I648" s="379">
        <f t="shared" si="945"/>
        <v>401</v>
      </c>
      <c r="J648" s="379" t="str">
        <f t="shared" si="946"/>
        <v>Y</v>
      </c>
      <c r="K648" s="379">
        <f t="shared" si="947"/>
        <v>33798</v>
      </c>
      <c r="L648" s="379" t="str">
        <f t="shared" si="948"/>
        <v>Y</v>
      </c>
      <c r="M648" s="379">
        <f t="shared" si="949"/>
        <v>33792</v>
      </c>
      <c r="N648" s="379">
        <f t="shared" si="950"/>
        <v>0</v>
      </c>
      <c r="O648" s="379">
        <f t="shared" si="951"/>
        <v>0</v>
      </c>
      <c r="P648" s="379" t="str">
        <f t="shared" si="952"/>
        <v>Y</v>
      </c>
      <c r="Q648" s="379" t="str">
        <f t="shared" si="953"/>
        <v>Y</v>
      </c>
      <c r="R648" s="379" t="str">
        <f t="shared" si="954"/>
        <v>Salamander Bay Waste Transfer Station</v>
      </c>
      <c r="S648" s="379">
        <f t="shared" si="955"/>
        <v>0</v>
      </c>
      <c r="T648" s="379">
        <f t="shared" si="956"/>
        <v>0</v>
      </c>
      <c r="U648" s="379">
        <f t="shared" si="957"/>
        <v>0</v>
      </c>
      <c r="V648" s="379">
        <f t="shared" si="958"/>
        <v>0</v>
      </c>
      <c r="W648" s="379">
        <f t="shared" si="959"/>
        <v>0</v>
      </c>
      <c r="X648" s="379">
        <f t="shared" si="960"/>
        <v>0</v>
      </c>
      <c r="Y648" s="379">
        <f t="shared" si="961"/>
        <v>0</v>
      </c>
      <c r="Z648" s="379">
        <f t="shared" si="962"/>
        <v>0</v>
      </c>
      <c r="AA648" s="379">
        <f t="shared" si="963"/>
        <v>0</v>
      </c>
      <c r="AB648" s="379">
        <f t="shared" si="964"/>
        <v>0</v>
      </c>
      <c r="AC648" s="379">
        <f t="shared" si="965"/>
        <v>0</v>
      </c>
      <c r="AD648" s="379">
        <f t="shared" si="966"/>
        <v>0</v>
      </c>
      <c r="AE648" s="379">
        <f t="shared" si="967"/>
        <v>0</v>
      </c>
      <c r="AF648" s="379">
        <f t="shared" si="968"/>
        <v>0</v>
      </c>
      <c r="AG648" s="379">
        <f t="shared" si="969"/>
        <v>0</v>
      </c>
      <c r="AH648" s="379">
        <f t="shared" si="970"/>
        <v>0</v>
      </c>
      <c r="AI648" s="379">
        <f t="shared" si="971"/>
        <v>0</v>
      </c>
      <c r="AJ648" s="379">
        <f t="shared" si="972"/>
        <v>0</v>
      </c>
      <c r="AK648" s="379">
        <f t="shared" si="973"/>
        <v>0</v>
      </c>
      <c r="AL648" s="379">
        <f t="shared" si="974"/>
        <v>0</v>
      </c>
      <c r="AM648" s="379">
        <f t="shared" si="975"/>
        <v>0</v>
      </c>
      <c r="AN648" s="490">
        <f t="shared" si="976"/>
        <v>0</v>
      </c>
      <c r="AO648" s="379">
        <f t="shared" si="977"/>
        <v>0</v>
      </c>
      <c r="AP648" s="379">
        <f t="shared" si="978"/>
        <v>0</v>
      </c>
      <c r="AQ648" s="379">
        <f t="shared" si="979"/>
        <v>0</v>
      </c>
      <c r="AR648" s="379">
        <f t="shared" si="980"/>
        <v>0</v>
      </c>
      <c r="AS648" s="379">
        <f t="shared" si="981"/>
        <v>0</v>
      </c>
      <c r="AT648" s="379">
        <f t="shared" si="982"/>
        <v>0</v>
      </c>
      <c r="AU648" s="379">
        <f t="shared" si="983"/>
        <v>0</v>
      </c>
      <c r="AV648" s="379">
        <f t="shared" si="984"/>
        <v>0</v>
      </c>
      <c r="AW648" s="379">
        <f t="shared" si="985"/>
        <v>0</v>
      </c>
      <c r="AX648" s="379">
        <f t="shared" si="986"/>
        <v>0</v>
      </c>
      <c r="AY648" s="379">
        <f t="shared" si="987"/>
        <v>0</v>
      </c>
    </row>
    <row r="649" spans="1:51" x14ac:dyDescent="0.2">
      <c r="A649" s="376">
        <v>17000</v>
      </c>
      <c r="B649" s="378" t="str">
        <f t="shared" si="940"/>
        <v>Singleton (A)</v>
      </c>
      <c r="C649" s="377" t="str">
        <f t="shared" si="941"/>
        <v>Hunter</v>
      </c>
      <c r="D649" s="503" t="str">
        <f t="shared" si="942"/>
        <v>R</v>
      </c>
      <c r="E649" s="503"/>
      <c r="F649"/>
      <c r="G649" s="379">
        <f t="shared" si="943"/>
        <v>24061</v>
      </c>
      <c r="H649" s="379">
        <f t="shared" si="944"/>
        <v>8082</v>
      </c>
      <c r="I649" s="379">
        <f t="shared" si="945"/>
        <v>460</v>
      </c>
      <c r="J649" s="379" t="str">
        <f t="shared" si="946"/>
        <v>Y</v>
      </c>
      <c r="K649" s="379">
        <f t="shared" si="947"/>
        <v>9003</v>
      </c>
      <c r="L649" s="379">
        <f t="shared" si="948"/>
        <v>0</v>
      </c>
      <c r="M649" s="379">
        <f t="shared" si="949"/>
        <v>8985</v>
      </c>
      <c r="N649" s="379">
        <f t="shared" si="950"/>
        <v>7182</v>
      </c>
      <c r="O649" s="379">
        <f t="shared" si="951"/>
        <v>0</v>
      </c>
      <c r="P649" s="379" t="str">
        <f t="shared" si="952"/>
        <v>Y</v>
      </c>
      <c r="Q649" s="379" t="str">
        <f t="shared" si="953"/>
        <v>Y</v>
      </c>
      <c r="R649" s="379" t="str">
        <f t="shared" si="954"/>
        <v>Singleton Waste Management Facility</v>
      </c>
      <c r="S649" s="379">
        <f t="shared" si="955"/>
        <v>0</v>
      </c>
      <c r="T649" s="379">
        <f t="shared" si="956"/>
        <v>0</v>
      </c>
      <c r="U649" s="379">
        <f t="shared" si="957"/>
        <v>0</v>
      </c>
      <c r="V649" s="379">
        <f t="shared" si="958"/>
        <v>0</v>
      </c>
      <c r="W649" s="379">
        <f t="shared" si="959"/>
        <v>0</v>
      </c>
      <c r="X649" s="379">
        <f t="shared" si="960"/>
        <v>0</v>
      </c>
      <c r="Y649" s="379">
        <f t="shared" si="961"/>
        <v>0</v>
      </c>
      <c r="Z649" s="379">
        <f t="shared" si="962"/>
        <v>0</v>
      </c>
      <c r="AA649" s="379">
        <f t="shared" si="963"/>
        <v>0</v>
      </c>
      <c r="AB649" s="379">
        <f t="shared" si="964"/>
        <v>0</v>
      </c>
      <c r="AC649" s="379">
        <f t="shared" si="965"/>
        <v>0</v>
      </c>
      <c r="AD649" s="379">
        <f t="shared" si="966"/>
        <v>0</v>
      </c>
      <c r="AE649" s="379">
        <f t="shared" si="967"/>
        <v>0</v>
      </c>
      <c r="AF649" s="379">
        <f t="shared" si="968"/>
        <v>0</v>
      </c>
      <c r="AG649" s="379">
        <f t="shared" si="969"/>
        <v>0</v>
      </c>
      <c r="AH649" s="379">
        <f t="shared" si="970"/>
        <v>0</v>
      </c>
      <c r="AI649" s="379">
        <f t="shared" si="971"/>
        <v>0</v>
      </c>
      <c r="AJ649" s="379">
        <f t="shared" si="972"/>
        <v>0</v>
      </c>
      <c r="AK649" s="379">
        <f t="shared" si="973"/>
        <v>0</v>
      </c>
      <c r="AL649" s="379">
        <f t="shared" si="974"/>
        <v>0</v>
      </c>
      <c r="AM649" s="379">
        <f t="shared" si="975"/>
        <v>0</v>
      </c>
      <c r="AN649" s="490">
        <f t="shared" si="976"/>
        <v>0</v>
      </c>
      <c r="AO649" s="379">
        <f t="shared" si="977"/>
        <v>0</v>
      </c>
      <c r="AP649" s="379">
        <f t="shared" si="978"/>
        <v>0</v>
      </c>
      <c r="AQ649" s="379">
        <f t="shared" si="979"/>
        <v>0</v>
      </c>
      <c r="AR649" s="379">
        <f t="shared" si="980"/>
        <v>0</v>
      </c>
      <c r="AS649" s="379">
        <f t="shared" si="981"/>
        <v>0</v>
      </c>
      <c r="AT649" s="379">
        <f t="shared" si="982"/>
        <v>0</v>
      </c>
      <c r="AU649" s="379">
        <f t="shared" si="983"/>
        <v>0</v>
      </c>
      <c r="AV649" s="379">
        <f t="shared" si="984"/>
        <v>0</v>
      </c>
      <c r="AW649" s="379">
        <f t="shared" si="985"/>
        <v>0</v>
      </c>
      <c r="AX649" s="379">
        <f t="shared" si="986"/>
        <v>0</v>
      </c>
      <c r="AY649" s="379">
        <f t="shared" si="987"/>
        <v>0</v>
      </c>
    </row>
    <row r="650" spans="1:51" ht="13.5" thickBot="1" x14ac:dyDescent="0.25">
      <c r="A650" s="376">
        <v>17620</v>
      </c>
      <c r="B650" s="378" t="str">
        <f t="shared" si="940"/>
        <v>Upper Hunter Shire (A)</v>
      </c>
      <c r="C650" s="377" t="str">
        <f t="shared" si="941"/>
        <v>Hunter</v>
      </c>
      <c r="D650" s="503" t="str">
        <f t="shared" si="942"/>
        <v>R</v>
      </c>
      <c r="E650" s="503"/>
      <c r="F650"/>
      <c r="G650" s="379">
        <f t="shared" si="943"/>
        <v>14522</v>
      </c>
      <c r="H650" s="379">
        <f t="shared" si="944"/>
        <v>4401</v>
      </c>
      <c r="I650" s="379">
        <f t="shared" si="945"/>
        <v>430.6</v>
      </c>
      <c r="J650" s="379" t="str">
        <f t="shared" si="946"/>
        <v>Y</v>
      </c>
      <c r="K650" s="379">
        <f t="shared" si="947"/>
        <v>4707</v>
      </c>
      <c r="L650" s="379">
        <f t="shared" si="948"/>
        <v>0</v>
      </c>
      <c r="M650" s="379">
        <f t="shared" si="949"/>
        <v>4707</v>
      </c>
      <c r="N650" s="379">
        <f t="shared" si="950"/>
        <v>0</v>
      </c>
      <c r="O650" s="379">
        <f t="shared" si="951"/>
        <v>0</v>
      </c>
      <c r="P650" s="379" t="str">
        <f t="shared" si="952"/>
        <v>Y</v>
      </c>
      <c r="Q650" s="379" t="str">
        <f t="shared" si="953"/>
        <v>Y</v>
      </c>
      <c r="R650" s="379" t="str">
        <f t="shared" si="954"/>
        <v>Scone</v>
      </c>
      <c r="S650" s="379" t="str">
        <f t="shared" si="955"/>
        <v>Aberdeen</v>
      </c>
      <c r="T650" s="379" t="str">
        <f t="shared" si="956"/>
        <v>Murrurundi</v>
      </c>
      <c r="U650" s="379" t="str">
        <f t="shared" si="957"/>
        <v>Merriwa</v>
      </c>
      <c r="V650" s="379">
        <f t="shared" si="958"/>
        <v>0</v>
      </c>
      <c r="W650" s="379">
        <f t="shared" si="959"/>
        <v>0</v>
      </c>
      <c r="X650" s="379">
        <f t="shared" si="960"/>
        <v>0</v>
      </c>
      <c r="Y650" s="379">
        <f t="shared" si="961"/>
        <v>0</v>
      </c>
      <c r="Z650" s="379">
        <f t="shared" si="962"/>
        <v>0</v>
      </c>
      <c r="AA650" s="379">
        <f t="shared" si="963"/>
        <v>0</v>
      </c>
      <c r="AB650" s="379">
        <f t="shared" si="964"/>
        <v>0</v>
      </c>
      <c r="AC650" s="379">
        <f t="shared" si="965"/>
        <v>0</v>
      </c>
      <c r="AD650" s="379">
        <f t="shared" si="966"/>
        <v>0</v>
      </c>
      <c r="AE650" s="379">
        <f t="shared" si="967"/>
        <v>0</v>
      </c>
      <c r="AF650" s="379">
        <f t="shared" si="968"/>
        <v>0</v>
      </c>
      <c r="AG650" s="379">
        <f t="shared" si="969"/>
        <v>0</v>
      </c>
      <c r="AH650" s="379">
        <f t="shared" si="970"/>
        <v>0</v>
      </c>
      <c r="AI650" s="379">
        <f t="shared" si="971"/>
        <v>0</v>
      </c>
      <c r="AJ650" s="379">
        <f t="shared" si="972"/>
        <v>0</v>
      </c>
      <c r="AK650" s="379">
        <f t="shared" si="973"/>
        <v>0</v>
      </c>
      <c r="AL650" s="379">
        <f t="shared" si="974"/>
        <v>0</v>
      </c>
      <c r="AM650" s="379">
        <f t="shared" si="975"/>
        <v>0</v>
      </c>
      <c r="AN650" s="490">
        <f t="shared" si="976"/>
        <v>0</v>
      </c>
      <c r="AO650" s="379">
        <f t="shared" si="977"/>
        <v>0</v>
      </c>
      <c r="AP650" s="379">
        <f t="shared" si="978"/>
        <v>0</v>
      </c>
      <c r="AQ650" s="379">
        <f t="shared" si="979"/>
        <v>0</v>
      </c>
      <c r="AR650" s="379">
        <f t="shared" si="980"/>
        <v>0</v>
      </c>
      <c r="AS650" s="379">
        <f t="shared" si="981"/>
        <v>0</v>
      </c>
      <c r="AT650" s="379">
        <f t="shared" si="982"/>
        <v>0</v>
      </c>
      <c r="AU650" s="379">
        <f t="shared" si="983"/>
        <v>0</v>
      </c>
      <c r="AV650" s="379">
        <f t="shared" si="984"/>
        <v>0</v>
      </c>
      <c r="AW650" s="379">
        <f t="shared" si="985"/>
        <v>0</v>
      </c>
      <c r="AX650" s="379">
        <f t="shared" si="986"/>
        <v>0</v>
      </c>
      <c r="AY650" s="379">
        <f t="shared" si="987"/>
        <v>0</v>
      </c>
    </row>
    <row r="651" spans="1:51" ht="13.5" thickTop="1" x14ac:dyDescent="0.2">
      <c r="A651" s="380"/>
      <c r="B651" s="380"/>
      <c r="C651" s="380" t="s">
        <v>264</v>
      </c>
      <c r="D651" s="380"/>
      <c r="E651" s="484"/>
      <c r="F651" s="381"/>
      <c r="G651" s="382">
        <f>COUNTIF(G641:G650,"&gt;0")</f>
        <v>10</v>
      </c>
      <c r="H651" s="382">
        <f t="shared" ref="H651:AY651" si="988">COUNTIF(H641:H650,"&gt;0")</f>
        <v>10</v>
      </c>
      <c r="I651" s="382">
        <f t="shared" si="988"/>
        <v>10</v>
      </c>
      <c r="J651" s="382">
        <f t="shared" si="988"/>
        <v>0</v>
      </c>
      <c r="K651" s="382">
        <f t="shared" si="988"/>
        <v>10</v>
      </c>
      <c r="L651" s="382">
        <f t="shared" si="988"/>
        <v>0</v>
      </c>
      <c r="M651" s="382">
        <f t="shared" si="988"/>
        <v>10</v>
      </c>
      <c r="N651" s="382">
        <f t="shared" si="988"/>
        <v>7</v>
      </c>
      <c r="O651" s="382">
        <f t="shared" si="988"/>
        <v>0</v>
      </c>
      <c r="P651" s="382">
        <f t="shared" si="988"/>
        <v>0</v>
      </c>
      <c r="Q651" s="382">
        <f t="shared" si="988"/>
        <v>0</v>
      </c>
      <c r="R651" s="382">
        <f t="shared" si="988"/>
        <v>0</v>
      </c>
      <c r="S651" s="382">
        <f t="shared" si="988"/>
        <v>0</v>
      </c>
      <c r="T651" s="382">
        <f t="shared" si="988"/>
        <v>0</v>
      </c>
      <c r="U651" s="382">
        <f t="shared" si="988"/>
        <v>0</v>
      </c>
      <c r="V651" s="382">
        <f t="shared" si="988"/>
        <v>0</v>
      </c>
      <c r="W651" s="382">
        <f t="shared" si="988"/>
        <v>0</v>
      </c>
      <c r="X651" s="382">
        <f t="shared" si="988"/>
        <v>0</v>
      </c>
      <c r="Y651" s="382">
        <f t="shared" si="988"/>
        <v>0</v>
      </c>
      <c r="Z651" s="382">
        <f t="shared" si="988"/>
        <v>0</v>
      </c>
      <c r="AA651" s="382">
        <f t="shared" si="988"/>
        <v>0</v>
      </c>
      <c r="AB651" s="382">
        <f t="shared" si="988"/>
        <v>0</v>
      </c>
      <c r="AC651" s="382">
        <f t="shared" si="988"/>
        <v>0</v>
      </c>
      <c r="AD651" s="382">
        <f t="shared" si="988"/>
        <v>0</v>
      </c>
      <c r="AE651" s="382">
        <f t="shared" si="988"/>
        <v>0</v>
      </c>
      <c r="AF651" s="382">
        <f t="shared" si="988"/>
        <v>0</v>
      </c>
      <c r="AG651" s="382">
        <f t="shared" si="988"/>
        <v>0</v>
      </c>
      <c r="AH651" s="382">
        <f t="shared" si="988"/>
        <v>0</v>
      </c>
      <c r="AI651" s="382">
        <f t="shared" si="988"/>
        <v>0</v>
      </c>
      <c r="AJ651" s="382">
        <f t="shared" si="988"/>
        <v>0</v>
      </c>
      <c r="AK651" s="382">
        <f t="shared" si="988"/>
        <v>0</v>
      </c>
      <c r="AL651" s="382">
        <f t="shared" si="988"/>
        <v>0</v>
      </c>
      <c r="AM651" s="382">
        <f t="shared" si="988"/>
        <v>0</v>
      </c>
      <c r="AN651" s="485">
        <f t="shared" si="988"/>
        <v>0</v>
      </c>
      <c r="AO651" s="382">
        <f t="shared" si="988"/>
        <v>0</v>
      </c>
      <c r="AP651" s="382">
        <f t="shared" si="988"/>
        <v>0</v>
      </c>
      <c r="AQ651" s="382">
        <f t="shared" si="988"/>
        <v>0</v>
      </c>
      <c r="AR651" s="382">
        <f t="shared" si="988"/>
        <v>0</v>
      </c>
      <c r="AS651" s="382">
        <f t="shared" si="988"/>
        <v>0</v>
      </c>
      <c r="AT651" s="382">
        <f t="shared" si="988"/>
        <v>0</v>
      </c>
      <c r="AU651" s="382">
        <f t="shared" si="988"/>
        <v>0</v>
      </c>
      <c r="AV651" s="382">
        <f t="shared" si="988"/>
        <v>0</v>
      </c>
      <c r="AW651" s="382">
        <f t="shared" si="988"/>
        <v>0</v>
      </c>
      <c r="AX651" s="382">
        <f t="shared" si="988"/>
        <v>0</v>
      </c>
      <c r="AY651" s="382">
        <f t="shared" si="988"/>
        <v>0</v>
      </c>
    </row>
    <row r="652" spans="1:51" x14ac:dyDescent="0.2">
      <c r="A652" s="376"/>
      <c r="B652" s="376"/>
      <c r="C652" s="376" t="s">
        <v>265</v>
      </c>
      <c r="D652" s="376"/>
      <c r="E652" s="488"/>
      <c r="F652" s="384"/>
      <c r="G652" s="385">
        <f>SUM(G641:G650)</f>
        <v>974725</v>
      </c>
      <c r="H652" s="385">
        <f t="shared" ref="H652:AY652" si="989">SUM(H641:H650)</f>
        <v>381366</v>
      </c>
      <c r="I652" s="385">
        <f t="shared" si="989"/>
        <v>4247.34</v>
      </c>
      <c r="J652" s="385">
        <f t="shared" si="989"/>
        <v>0</v>
      </c>
      <c r="K652" s="385">
        <f t="shared" si="989"/>
        <v>380177</v>
      </c>
      <c r="L652" s="385">
        <f t="shared" si="989"/>
        <v>0</v>
      </c>
      <c r="M652" s="385">
        <f t="shared" si="989"/>
        <v>380791</v>
      </c>
      <c r="N652" s="385">
        <f t="shared" si="989"/>
        <v>327781</v>
      </c>
      <c r="O652" s="385">
        <f t="shared" si="989"/>
        <v>0</v>
      </c>
      <c r="P652" s="385">
        <f t="shared" si="989"/>
        <v>0</v>
      </c>
      <c r="Q652" s="385">
        <f t="shared" si="989"/>
        <v>0</v>
      </c>
      <c r="R652" s="385">
        <f t="shared" si="989"/>
        <v>0</v>
      </c>
      <c r="S652" s="385">
        <f t="shared" si="989"/>
        <v>0</v>
      </c>
      <c r="T652" s="385">
        <f t="shared" si="989"/>
        <v>0</v>
      </c>
      <c r="U652" s="385">
        <f t="shared" si="989"/>
        <v>0</v>
      </c>
      <c r="V652" s="385">
        <f t="shared" si="989"/>
        <v>0</v>
      </c>
      <c r="W652" s="385">
        <f t="shared" si="989"/>
        <v>0</v>
      </c>
      <c r="X652" s="385">
        <f t="shared" si="989"/>
        <v>0</v>
      </c>
      <c r="Y652" s="385">
        <f t="shared" si="989"/>
        <v>0</v>
      </c>
      <c r="Z652" s="385">
        <f t="shared" si="989"/>
        <v>0</v>
      </c>
      <c r="AA652" s="385">
        <f t="shared" si="989"/>
        <v>0</v>
      </c>
      <c r="AB652" s="385">
        <f t="shared" si="989"/>
        <v>0</v>
      </c>
      <c r="AC652" s="385">
        <f t="shared" si="989"/>
        <v>0</v>
      </c>
      <c r="AD652" s="385">
        <f t="shared" si="989"/>
        <v>0</v>
      </c>
      <c r="AE652" s="385">
        <f t="shared" si="989"/>
        <v>0</v>
      </c>
      <c r="AF652" s="385">
        <f t="shared" si="989"/>
        <v>0</v>
      </c>
      <c r="AG652" s="385">
        <f t="shared" si="989"/>
        <v>0</v>
      </c>
      <c r="AH652" s="385">
        <f t="shared" si="989"/>
        <v>0</v>
      </c>
      <c r="AI652" s="385">
        <f t="shared" si="989"/>
        <v>0</v>
      </c>
      <c r="AJ652" s="385">
        <f t="shared" si="989"/>
        <v>0</v>
      </c>
      <c r="AK652" s="385">
        <f t="shared" si="989"/>
        <v>0</v>
      </c>
      <c r="AL652" s="385">
        <f t="shared" si="989"/>
        <v>0</v>
      </c>
      <c r="AM652" s="385">
        <f t="shared" si="989"/>
        <v>0</v>
      </c>
      <c r="AN652" s="489">
        <f t="shared" si="989"/>
        <v>0</v>
      </c>
      <c r="AO652" s="385">
        <f t="shared" si="989"/>
        <v>0</v>
      </c>
      <c r="AP652" s="385">
        <f t="shared" si="989"/>
        <v>0</v>
      </c>
      <c r="AQ652" s="385">
        <f t="shared" si="989"/>
        <v>0</v>
      </c>
      <c r="AR652" s="385">
        <f t="shared" si="989"/>
        <v>0</v>
      </c>
      <c r="AS652" s="385">
        <f t="shared" si="989"/>
        <v>0</v>
      </c>
      <c r="AT652" s="385">
        <f t="shared" si="989"/>
        <v>0</v>
      </c>
      <c r="AU652" s="385">
        <f t="shared" si="989"/>
        <v>0</v>
      </c>
      <c r="AV652" s="385">
        <f t="shared" si="989"/>
        <v>0</v>
      </c>
      <c r="AW652" s="385">
        <f t="shared" si="989"/>
        <v>0</v>
      </c>
      <c r="AX652" s="385">
        <f t="shared" si="989"/>
        <v>0</v>
      </c>
      <c r="AY652" s="385">
        <f t="shared" si="989"/>
        <v>0</v>
      </c>
    </row>
    <row r="653" spans="1:51" x14ac:dyDescent="0.2">
      <c r="A653" s="376"/>
      <c r="B653" s="376"/>
      <c r="C653" s="376" t="s">
        <v>266</v>
      </c>
      <c r="D653" s="376"/>
      <c r="E653" s="488"/>
      <c r="F653" s="384"/>
      <c r="G653" s="379">
        <f>MIN(G641:G650)</f>
        <v>9323</v>
      </c>
      <c r="H653" s="379">
        <f t="shared" ref="H653:AY653" si="990">MIN(H641:H650)</f>
        <v>4401</v>
      </c>
      <c r="I653" s="379">
        <f t="shared" si="990"/>
        <v>340.09</v>
      </c>
      <c r="J653" s="379">
        <f t="shared" si="990"/>
        <v>0</v>
      </c>
      <c r="K653" s="379">
        <f t="shared" si="990"/>
        <v>3545</v>
      </c>
      <c r="L653" s="379">
        <f t="shared" si="990"/>
        <v>0</v>
      </c>
      <c r="M653" s="379">
        <f t="shared" si="990"/>
        <v>3521</v>
      </c>
      <c r="N653" s="379">
        <f t="shared" si="990"/>
        <v>0</v>
      </c>
      <c r="O653" s="379">
        <f t="shared" si="990"/>
        <v>0</v>
      </c>
      <c r="P653" s="379">
        <f t="shared" si="990"/>
        <v>0</v>
      </c>
      <c r="Q653" s="379">
        <f t="shared" si="990"/>
        <v>0</v>
      </c>
      <c r="R653" s="379">
        <f t="shared" si="990"/>
        <v>0</v>
      </c>
      <c r="S653" s="379">
        <f t="shared" si="990"/>
        <v>0</v>
      </c>
      <c r="T653" s="379">
        <f t="shared" si="990"/>
        <v>0</v>
      </c>
      <c r="U653" s="379">
        <f t="shared" si="990"/>
        <v>0</v>
      </c>
      <c r="V653" s="379">
        <f t="shared" si="990"/>
        <v>0</v>
      </c>
      <c r="W653" s="379">
        <f t="shared" si="990"/>
        <v>0</v>
      </c>
      <c r="X653" s="379">
        <f t="shared" si="990"/>
        <v>0</v>
      </c>
      <c r="Y653" s="379">
        <f t="shared" si="990"/>
        <v>0</v>
      </c>
      <c r="Z653" s="379">
        <f t="shared" si="990"/>
        <v>0</v>
      </c>
      <c r="AA653" s="379">
        <f t="shared" si="990"/>
        <v>0</v>
      </c>
      <c r="AB653" s="379">
        <f t="shared" si="990"/>
        <v>0</v>
      </c>
      <c r="AC653" s="379">
        <f t="shared" si="990"/>
        <v>0</v>
      </c>
      <c r="AD653" s="379">
        <f t="shared" si="990"/>
        <v>0</v>
      </c>
      <c r="AE653" s="379">
        <f t="shared" si="990"/>
        <v>0</v>
      </c>
      <c r="AF653" s="379">
        <f t="shared" si="990"/>
        <v>0</v>
      </c>
      <c r="AG653" s="379">
        <f t="shared" si="990"/>
        <v>0</v>
      </c>
      <c r="AH653" s="379">
        <f t="shared" si="990"/>
        <v>0</v>
      </c>
      <c r="AI653" s="379">
        <f t="shared" si="990"/>
        <v>0</v>
      </c>
      <c r="AJ653" s="379">
        <f t="shared" si="990"/>
        <v>0</v>
      </c>
      <c r="AK653" s="379">
        <f t="shared" si="990"/>
        <v>0</v>
      </c>
      <c r="AL653" s="379">
        <f t="shared" si="990"/>
        <v>0</v>
      </c>
      <c r="AM653" s="379">
        <f t="shared" si="990"/>
        <v>0</v>
      </c>
      <c r="AN653" s="490">
        <f t="shared" si="990"/>
        <v>0</v>
      </c>
      <c r="AO653" s="379">
        <f t="shared" si="990"/>
        <v>0</v>
      </c>
      <c r="AP653" s="379">
        <f t="shared" si="990"/>
        <v>0</v>
      </c>
      <c r="AQ653" s="379">
        <f t="shared" si="990"/>
        <v>0</v>
      </c>
      <c r="AR653" s="379">
        <f t="shared" si="990"/>
        <v>0</v>
      </c>
      <c r="AS653" s="379">
        <f t="shared" si="990"/>
        <v>0</v>
      </c>
      <c r="AT653" s="379">
        <f t="shared" si="990"/>
        <v>0</v>
      </c>
      <c r="AU653" s="379">
        <f t="shared" si="990"/>
        <v>0</v>
      </c>
      <c r="AV653" s="379">
        <f t="shared" si="990"/>
        <v>0</v>
      </c>
      <c r="AW653" s="379">
        <f t="shared" si="990"/>
        <v>0</v>
      </c>
      <c r="AX653" s="379">
        <f t="shared" si="990"/>
        <v>0</v>
      </c>
      <c r="AY653" s="379">
        <f t="shared" si="990"/>
        <v>0</v>
      </c>
    </row>
    <row r="654" spans="1:51" x14ac:dyDescent="0.2">
      <c r="A654" s="376"/>
      <c r="B654" s="376"/>
      <c r="C654" s="376" t="s">
        <v>267</v>
      </c>
      <c r="D654" s="376"/>
      <c r="E654" s="488"/>
      <c r="F654" s="384"/>
      <c r="G654" s="379">
        <f>MAX(G641:G650)</f>
        <v>334857</v>
      </c>
      <c r="H654" s="379">
        <f t="shared" ref="H654:AY654" si="991">MAX(H641:H650)</f>
        <v>130469</v>
      </c>
      <c r="I654" s="379">
        <f t="shared" si="991"/>
        <v>540</v>
      </c>
      <c r="J654" s="379">
        <f t="shared" si="991"/>
        <v>0</v>
      </c>
      <c r="K654" s="379">
        <f t="shared" si="991"/>
        <v>131869</v>
      </c>
      <c r="L654" s="379">
        <f t="shared" si="991"/>
        <v>0</v>
      </c>
      <c r="M654" s="379">
        <f t="shared" si="991"/>
        <v>132191</v>
      </c>
      <c r="N654" s="379">
        <f t="shared" si="991"/>
        <v>123590</v>
      </c>
      <c r="O654" s="379">
        <f t="shared" si="991"/>
        <v>0</v>
      </c>
      <c r="P654" s="379">
        <f t="shared" si="991"/>
        <v>0</v>
      </c>
      <c r="Q654" s="379">
        <f t="shared" si="991"/>
        <v>0</v>
      </c>
      <c r="R654" s="379">
        <f t="shared" si="991"/>
        <v>0</v>
      </c>
      <c r="S654" s="379">
        <f t="shared" si="991"/>
        <v>0</v>
      </c>
      <c r="T654" s="379">
        <f t="shared" si="991"/>
        <v>0</v>
      </c>
      <c r="U654" s="379">
        <f t="shared" si="991"/>
        <v>0</v>
      </c>
      <c r="V654" s="379">
        <f t="shared" si="991"/>
        <v>0</v>
      </c>
      <c r="W654" s="379">
        <f t="shared" si="991"/>
        <v>0</v>
      </c>
      <c r="X654" s="379">
        <f t="shared" si="991"/>
        <v>0</v>
      </c>
      <c r="Y654" s="379">
        <f t="shared" si="991"/>
        <v>0</v>
      </c>
      <c r="Z654" s="379">
        <f t="shared" si="991"/>
        <v>0</v>
      </c>
      <c r="AA654" s="379">
        <f t="shared" si="991"/>
        <v>0</v>
      </c>
      <c r="AB654" s="379">
        <f t="shared" si="991"/>
        <v>0</v>
      </c>
      <c r="AC654" s="379">
        <f t="shared" si="991"/>
        <v>0</v>
      </c>
      <c r="AD654" s="379">
        <f t="shared" si="991"/>
        <v>0</v>
      </c>
      <c r="AE654" s="379">
        <f t="shared" si="991"/>
        <v>0</v>
      </c>
      <c r="AF654" s="379">
        <f t="shared" si="991"/>
        <v>0</v>
      </c>
      <c r="AG654" s="379">
        <f t="shared" si="991"/>
        <v>0</v>
      </c>
      <c r="AH654" s="379">
        <f t="shared" si="991"/>
        <v>0</v>
      </c>
      <c r="AI654" s="379">
        <f t="shared" si="991"/>
        <v>0</v>
      </c>
      <c r="AJ654" s="379">
        <f t="shared" si="991"/>
        <v>0</v>
      </c>
      <c r="AK654" s="379">
        <f t="shared" si="991"/>
        <v>0</v>
      </c>
      <c r="AL654" s="379">
        <f t="shared" si="991"/>
        <v>0</v>
      </c>
      <c r="AM654" s="379">
        <f t="shared" si="991"/>
        <v>0</v>
      </c>
      <c r="AN654" s="490">
        <f t="shared" si="991"/>
        <v>0</v>
      </c>
      <c r="AO654" s="379">
        <f t="shared" si="991"/>
        <v>0</v>
      </c>
      <c r="AP654" s="379">
        <f t="shared" si="991"/>
        <v>0</v>
      </c>
      <c r="AQ654" s="379">
        <f t="shared" si="991"/>
        <v>0</v>
      </c>
      <c r="AR654" s="379">
        <f t="shared" si="991"/>
        <v>0</v>
      </c>
      <c r="AS654" s="379">
        <f t="shared" si="991"/>
        <v>0</v>
      </c>
      <c r="AT654" s="379">
        <f t="shared" si="991"/>
        <v>0</v>
      </c>
      <c r="AU654" s="379">
        <f t="shared" si="991"/>
        <v>0</v>
      </c>
      <c r="AV654" s="379">
        <f t="shared" si="991"/>
        <v>0</v>
      </c>
      <c r="AW654" s="379">
        <f t="shared" si="991"/>
        <v>0</v>
      </c>
      <c r="AX654" s="379">
        <f t="shared" si="991"/>
        <v>0</v>
      </c>
      <c r="AY654" s="379">
        <f t="shared" si="991"/>
        <v>0</v>
      </c>
    </row>
    <row r="655" spans="1:51" x14ac:dyDescent="0.2">
      <c r="A655" s="376"/>
      <c r="B655" s="376"/>
      <c r="C655" s="376" t="s">
        <v>268</v>
      </c>
      <c r="D655" s="376"/>
      <c r="E655" s="488"/>
      <c r="F655" s="384"/>
      <c r="G655" s="379">
        <f>AVERAGE(G641:G650)</f>
        <v>97472.5</v>
      </c>
      <c r="H655" s="379">
        <f t="shared" ref="H655:AY655" si="992">AVERAGE(H641:H650)</f>
        <v>38136.6</v>
      </c>
      <c r="I655" s="379">
        <f t="shared" si="992"/>
        <v>424.73400000000004</v>
      </c>
      <c r="J655" s="379" t="e">
        <f t="shared" si="992"/>
        <v>#DIV/0!</v>
      </c>
      <c r="K655" s="379">
        <f t="shared" si="992"/>
        <v>38017.699999999997</v>
      </c>
      <c r="L655" s="379">
        <f t="shared" si="992"/>
        <v>0</v>
      </c>
      <c r="M655" s="379">
        <f t="shared" si="992"/>
        <v>38079.1</v>
      </c>
      <c r="N655" s="379">
        <f t="shared" si="992"/>
        <v>32778.1</v>
      </c>
      <c r="O655" s="379">
        <f t="shared" si="992"/>
        <v>0</v>
      </c>
      <c r="P655" s="379">
        <f t="shared" si="992"/>
        <v>0</v>
      </c>
      <c r="Q655" s="379" t="e">
        <f t="shared" si="992"/>
        <v>#DIV/0!</v>
      </c>
      <c r="R655" s="379" t="e">
        <f t="shared" si="992"/>
        <v>#DIV/0!</v>
      </c>
      <c r="S655" s="379">
        <f t="shared" si="992"/>
        <v>0</v>
      </c>
      <c r="T655" s="379">
        <f t="shared" si="992"/>
        <v>0</v>
      </c>
      <c r="U655" s="379">
        <f t="shared" si="992"/>
        <v>0</v>
      </c>
      <c r="V655" s="379">
        <f t="shared" si="992"/>
        <v>0</v>
      </c>
      <c r="W655" s="379">
        <f t="shared" si="992"/>
        <v>0</v>
      </c>
      <c r="X655" s="379">
        <f t="shared" si="992"/>
        <v>0</v>
      </c>
      <c r="Y655" s="379">
        <f t="shared" si="992"/>
        <v>0</v>
      </c>
      <c r="Z655" s="379">
        <f t="shared" si="992"/>
        <v>0</v>
      </c>
      <c r="AA655" s="379">
        <f t="shared" si="992"/>
        <v>0</v>
      </c>
      <c r="AB655" s="379">
        <f t="shared" si="992"/>
        <v>0</v>
      </c>
      <c r="AC655" s="379">
        <f t="shared" si="992"/>
        <v>0</v>
      </c>
      <c r="AD655" s="379">
        <f t="shared" si="992"/>
        <v>0</v>
      </c>
      <c r="AE655" s="379">
        <f t="shared" si="992"/>
        <v>0</v>
      </c>
      <c r="AF655" s="379">
        <f t="shared" si="992"/>
        <v>0</v>
      </c>
      <c r="AG655" s="379">
        <f t="shared" si="992"/>
        <v>0</v>
      </c>
      <c r="AH655" s="379">
        <f t="shared" si="992"/>
        <v>0</v>
      </c>
      <c r="AI655" s="379">
        <f t="shared" si="992"/>
        <v>0</v>
      </c>
      <c r="AJ655" s="379">
        <f t="shared" si="992"/>
        <v>0</v>
      </c>
      <c r="AK655" s="379">
        <f t="shared" si="992"/>
        <v>0</v>
      </c>
      <c r="AL655" s="379">
        <f t="shared" si="992"/>
        <v>0</v>
      </c>
      <c r="AM655" s="379">
        <f t="shared" si="992"/>
        <v>0</v>
      </c>
      <c r="AN655" s="490">
        <f t="shared" si="992"/>
        <v>0</v>
      </c>
      <c r="AO655" s="379">
        <f t="shared" si="992"/>
        <v>0</v>
      </c>
      <c r="AP655" s="379">
        <f t="shared" si="992"/>
        <v>0</v>
      </c>
      <c r="AQ655" s="379">
        <f t="shared" si="992"/>
        <v>0</v>
      </c>
      <c r="AR655" s="379">
        <f t="shared" si="992"/>
        <v>0</v>
      </c>
      <c r="AS655" s="379">
        <f t="shared" si="992"/>
        <v>0</v>
      </c>
      <c r="AT655" s="379">
        <f t="shared" si="992"/>
        <v>0</v>
      </c>
      <c r="AU655" s="379">
        <f t="shared" si="992"/>
        <v>0</v>
      </c>
      <c r="AV655" s="379">
        <f t="shared" si="992"/>
        <v>0</v>
      </c>
      <c r="AW655" s="379">
        <f t="shared" si="992"/>
        <v>0</v>
      </c>
      <c r="AX655" s="379">
        <f t="shared" si="992"/>
        <v>0</v>
      </c>
      <c r="AY655" s="379">
        <f t="shared" si="992"/>
        <v>0</v>
      </c>
    </row>
    <row r="656" spans="1:51" ht="13.5" thickBot="1" x14ac:dyDescent="0.25">
      <c r="A656" s="386"/>
      <c r="B656" s="386"/>
      <c r="C656" s="386" t="s">
        <v>269</v>
      </c>
      <c r="D656" s="386"/>
      <c r="E656" s="491"/>
      <c r="F656" s="384"/>
      <c r="G656" s="388">
        <f>MEDIAN(G641:G650)</f>
        <v>63969</v>
      </c>
      <c r="H656" s="388">
        <f t="shared" ref="H656:AY656" si="993">MEDIAN(H641:H650)</f>
        <v>26632</v>
      </c>
      <c r="I656" s="388">
        <f t="shared" si="993"/>
        <v>424.8</v>
      </c>
      <c r="J656" s="388" t="e">
        <f t="shared" si="993"/>
        <v>#NUM!</v>
      </c>
      <c r="K656" s="388">
        <f t="shared" si="993"/>
        <v>25150</v>
      </c>
      <c r="L656" s="388">
        <f t="shared" si="993"/>
        <v>0</v>
      </c>
      <c r="M656" s="388">
        <f t="shared" si="993"/>
        <v>25944</v>
      </c>
      <c r="N656" s="388">
        <f t="shared" si="993"/>
        <v>14206</v>
      </c>
      <c r="O656" s="388">
        <f t="shared" si="993"/>
        <v>0</v>
      </c>
      <c r="P656" s="388">
        <f t="shared" si="993"/>
        <v>0</v>
      </c>
      <c r="Q656" s="388" t="e">
        <f t="shared" si="993"/>
        <v>#NUM!</v>
      </c>
      <c r="R656" s="388" t="e">
        <f t="shared" si="993"/>
        <v>#NUM!</v>
      </c>
      <c r="S656" s="388">
        <f t="shared" si="993"/>
        <v>0</v>
      </c>
      <c r="T656" s="388">
        <f t="shared" si="993"/>
        <v>0</v>
      </c>
      <c r="U656" s="388">
        <f t="shared" si="993"/>
        <v>0</v>
      </c>
      <c r="V656" s="388">
        <f t="shared" si="993"/>
        <v>0</v>
      </c>
      <c r="W656" s="388">
        <f t="shared" si="993"/>
        <v>0</v>
      </c>
      <c r="X656" s="388">
        <f t="shared" si="993"/>
        <v>0</v>
      </c>
      <c r="Y656" s="388">
        <f t="shared" si="993"/>
        <v>0</v>
      </c>
      <c r="Z656" s="388">
        <f t="shared" si="993"/>
        <v>0</v>
      </c>
      <c r="AA656" s="388">
        <f t="shared" si="993"/>
        <v>0</v>
      </c>
      <c r="AB656" s="388">
        <f t="shared" si="993"/>
        <v>0</v>
      </c>
      <c r="AC656" s="388">
        <f t="shared" si="993"/>
        <v>0</v>
      </c>
      <c r="AD656" s="388">
        <f t="shared" si="993"/>
        <v>0</v>
      </c>
      <c r="AE656" s="388">
        <f t="shared" si="993"/>
        <v>0</v>
      </c>
      <c r="AF656" s="388">
        <f t="shared" si="993"/>
        <v>0</v>
      </c>
      <c r="AG656" s="388">
        <f t="shared" si="993"/>
        <v>0</v>
      </c>
      <c r="AH656" s="388">
        <f t="shared" si="993"/>
        <v>0</v>
      </c>
      <c r="AI656" s="388">
        <f t="shared" si="993"/>
        <v>0</v>
      </c>
      <c r="AJ656" s="388">
        <f t="shared" si="993"/>
        <v>0</v>
      </c>
      <c r="AK656" s="388">
        <f t="shared" si="993"/>
        <v>0</v>
      </c>
      <c r="AL656" s="388">
        <f t="shared" si="993"/>
        <v>0</v>
      </c>
      <c r="AM656" s="388">
        <f t="shared" si="993"/>
        <v>0</v>
      </c>
      <c r="AN656" s="492">
        <f t="shared" si="993"/>
        <v>0</v>
      </c>
      <c r="AO656" s="388">
        <f t="shared" si="993"/>
        <v>0</v>
      </c>
      <c r="AP656" s="388">
        <f t="shared" si="993"/>
        <v>0</v>
      </c>
      <c r="AQ656" s="388">
        <f t="shared" si="993"/>
        <v>0</v>
      </c>
      <c r="AR656" s="388">
        <f t="shared" si="993"/>
        <v>0</v>
      </c>
      <c r="AS656" s="388">
        <f t="shared" si="993"/>
        <v>0</v>
      </c>
      <c r="AT656" s="388">
        <f t="shared" si="993"/>
        <v>0</v>
      </c>
      <c r="AU656" s="388">
        <f t="shared" si="993"/>
        <v>0</v>
      </c>
      <c r="AV656" s="388">
        <f t="shared" si="993"/>
        <v>0</v>
      </c>
      <c r="AW656" s="388">
        <f t="shared" si="993"/>
        <v>0</v>
      </c>
      <c r="AX656" s="388">
        <f t="shared" si="993"/>
        <v>0</v>
      </c>
      <c r="AY656" s="388">
        <f t="shared" si="993"/>
        <v>0</v>
      </c>
    </row>
    <row r="657" spans="1:51" ht="13.5" thickTop="1" x14ac:dyDescent="0.2">
      <c r="B657"/>
      <c r="C657" s="278"/>
      <c r="D657" s="278"/>
      <c r="E657" s="507"/>
    </row>
    <row r="658" spans="1:51" ht="13.5" thickBot="1" x14ac:dyDescent="0.25">
      <c r="A658" s="400"/>
      <c r="B658" s="400"/>
      <c r="C658" s="402" t="s">
        <v>127</v>
      </c>
      <c r="D658" s="402"/>
      <c r="E658" s="503"/>
    </row>
    <row r="659" spans="1:51" ht="13.5" thickTop="1" x14ac:dyDescent="0.2">
      <c r="A659" s="376">
        <v>10500</v>
      </c>
      <c r="B659" s="378" t="str">
        <f t="shared" ref="B659:B669" si="994">VLOOKUP($A659,$A$5:$L$133,2,FALSE)</f>
        <v xml:space="preserve">Bayside Council </v>
      </c>
      <c r="C659" s="377" t="str">
        <f t="shared" ref="C659:C669" si="995">VLOOKUP($A659,$A$5:$L$133,3,FALSE)</f>
        <v>SSROC</v>
      </c>
      <c r="D659" s="503" t="str">
        <f t="shared" ref="D659:D669" si="996">VLOOKUP($A659,$A$5:$L$133,4,FALSE)</f>
        <v>S</v>
      </c>
      <c r="E659" s="503"/>
      <c r="F659"/>
      <c r="G659" s="379">
        <f t="shared" ref="G659:G669" si="997">VLOOKUP($A659,$A$5:$AY$132,7,FALSE)</f>
        <v>160944</v>
      </c>
      <c r="H659" s="379">
        <f t="shared" ref="H659:H669" si="998">VLOOKUP($A659,$A$5:$AY$132,8,FALSE)</f>
        <v>58760</v>
      </c>
      <c r="I659" s="379">
        <f t="shared" ref="I659:I669" si="999">VLOOKUP($A659,$A$5:$AY$132,9,FALSE)</f>
        <v>462</v>
      </c>
      <c r="J659" s="379" t="str">
        <f t="shared" ref="J659:J669" si="1000">VLOOKUP($A659,$A$5:$AY$132,10,FALSE)</f>
        <v>Y</v>
      </c>
      <c r="K659" s="379">
        <f t="shared" ref="K659:K669" si="1001">VLOOKUP($A659,$A$5:$AY$132,11,FALSE)</f>
        <v>42095</v>
      </c>
      <c r="L659" s="379" t="str">
        <f t="shared" ref="L659:L669" si="1002">VLOOKUP($A659,$A$5:$AY$132,12,FALSE)</f>
        <v>Y</v>
      </c>
      <c r="M659" s="379">
        <f t="shared" ref="M659:M669" si="1003">VLOOKUP($A659,$A$4:$AY$132,13,FALSE)</f>
        <v>43087</v>
      </c>
      <c r="N659" s="379">
        <f t="shared" ref="N659:N669" si="1004">VLOOKUP($A659,$A$4:$AY$132,14,FALSE)</f>
        <v>8167</v>
      </c>
      <c r="O659" s="379">
        <f t="shared" ref="O659:O669" si="1005">VLOOKUP($A659,$A$4:$AY$132,15,FALSE)</f>
        <v>0</v>
      </c>
      <c r="P659" s="379" t="str">
        <f t="shared" ref="P659:P669" si="1006">VLOOKUP($A659,$A$4:$AY$132,16,FALSE)</f>
        <v>Y</v>
      </c>
      <c r="Q659" s="379">
        <f t="shared" ref="Q659:Q669" si="1007">VLOOKUP($A659,$A$4:$AY$132,17,FALSE)</f>
        <v>0</v>
      </c>
      <c r="R659" s="379">
        <f t="shared" ref="R659:R669" si="1008">VLOOKUP($A659,$A$4:$AY$132,18,FALSE)</f>
        <v>0</v>
      </c>
      <c r="S659" s="379">
        <f t="shared" ref="S659:S669" si="1009">VLOOKUP($A659,$A$4:$AY$132,19,FALSE)</f>
        <v>0</v>
      </c>
      <c r="T659" s="379">
        <f t="shared" ref="T659:T669" si="1010">VLOOKUP($A659,$A$4:$AY$132,20,FALSE)</f>
        <v>0</v>
      </c>
      <c r="U659" s="379">
        <f t="shared" ref="U659:U669" si="1011">VLOOKUP($A659,$A$4:$AY$132,21,FALSE)</f>
        <v>0</v>
      </c>
      <c r="V659" s="379">
        <f t="shared" ref="V659:V669" si="1012">VLOOKUP($A659,$A$4:$AY$132,22,FALSE)</f>
        <v>0</v>
      </c>
      <c r="W659" s="379">
        <f t="shared" ref="W659:W669" si="1013">VLOOKUP($A659,$A$4:$AY$132,23,FALSE)</f>
        <v>0</v>
      </c>
      <c r="X659" s="379">
        <f t="shared" ref="X659:X669" si="1014">VLOOKUP($A659,$A$4:$AY$132,24,FALSE)</f>
        <v>0</v>
      </c>
      <c r="Y659" s="379">
        <f t="shared" ref="Y659:Y669" si="1015">VLOOKUP($A659,$A$4:$AY$132,25,FALSE)</f>
        <v>0</v>
      </c>
      <c r="Z659" s="379">
        <f t="shared" ref="Z659:Z669" si="1016">VLOOKUP($A659,$A$4:$AY$132,26,FALSE)</f>
        <v>0</v>
      </c>
      <c r="AA659" s="379">
        <f t="shared" ref="AA659:AA669" si="1017">VLOOKUP($A659,$A$4:$AY$132,27,FALSE)</f>
        <v>0</v>
      </c>
      <c r="AB659" s="379">
        <f t="shared" ref="AB659:AB669" si="1018">VLOOKUP($A659,$A$4:$AY$132,28,FALSE)</f>
        <v>0</v>
      </c>
      <c r="AC659" s="379">
        <f t="shared" ref="AC659:AC669" si="1019">VLOOKUP($A659,$A$4:$AY$132,29,FALSE)</f>
        <v>0</v>
      </c>
      <c r="AD659" s="379">
        <f t="shared" ref="AD659:AD669" si="1020">VLOOKUP($A659,$A$4:$AY$132,30,FALSE)</f>
        <v>0</v>
      </c>
      <c r="AE659" s="379">
        <f t="shared" ref="AE659:AE669" si="1021">VLOOKUP($A659,$A$4:$AY$132,31,FALSE)</f>
        <v>0</v>
      </c>
      <c r="AF659" s="379">
        <f t="shared" ref="AF659:AF669" si="1022">VLOOKUP($A659,$A$4:$AY$132,32,FALSE)</f>
        <v>0</v>
      </c>
      <c r="AG659" s="379">
        <f t="shared" ref="AG659:AG669" si="1023">VLOOKUP($A659,$A$4:$AY$132,33,FALSE)</f>
        <v>0</v>
      </c>
      <c r="AH659" s="379">
        <f t="shared" ref="AH659:AH669" si="1024">VLOOKUP($A659,$A$4:$AY$132,34,FALSE)</f>
        <v>0</v>
      </c>
      <c r="AI659" s="379">
        <f t="shared" ref="AI659:AI669" si="1025">VLOOKUP($A659,$A$4:$AY$132,35,FALSE)</f>
        <v>0</v>
      </c>
      <c r="AJ659" s="379">
        <f t="shared" ref="AJ659:AJ669" si="1026">VLOOKUP($A659,$A$4:$AY$132,36,FALSE)</f>
        <v>0</v>
      </c>
      <c r="AK659" s="379">
        <f t="shared" ref="AK659:AK669" si="1027">VLOOKUP($A659,$A$4:$AY$132,37,FALSE)</f>
        <v>0</v>
      </c>
      <c r="AL659" s="379">
        <f t="shared" ref="AL659:AL669" si="1028">VLOOKUP($A659,$A$4:$AY$132,38,FALSE)</f>
        <v>0</v>
      </c>
      <c r="AM659" s="379">
        <f t="shared" ref="AM659:AM669" si="1029">VLOOKUP($A659,$A$4:$AY$132,39,FALSE)</f>
        <v>0</v>
      </c>
      <c r="AN659" s="490">
        <f t="shared" ref="AN659:AN669" si="1030">VLOOKUP($A659,$A$4:$AY$132,40,FALSE)</f>
        <v>0</v>
      </c>
      <c r="AO659" s="379">
        <f t="shared" ref="AO659:AO669" si="1031">VLOOKUP($A659,$A$4:$AY$132,41,FALSE)</f>
        <v>0</v>
      </c>
      <c r="AP659" s="379">
        <f t="shared" ref="AP659:AP669" si="1032">VLOOKUP($A659,$A$4:$AY$132,42,FALSE)</f>
        <v>0</v>
      </c>
      <c r="AQ659" s="379">
        <f t="shared" ref="AQ659:AQ669" si="1033">VLOOKUP($A659,$A$4:$AY$132,43,FALSE)</f>
        <v>0</v>
      </c>
      <c r="AR659" s="379">
        <f t="shared" ref="AR659:AR669" si="1034">VLOOKUP($A659,$A$4:$AY$132,44,FALSE)</f>
        <v>0</v>
      </c>
      <c r="AS659" s="379">
        <f t="shared" ref="AS659:AS669" si="1035">VLOOKUP($A659,$A$4:$AY$132,45,FALSE)</f>
        <v>0</v>
      </c>
      <c r="AT659" s="379">
        <f t="shared" ref="AT659:AT669" si="1036">VLOOKUP($A659,$A$4:$AY$132,46,FALSE)</f>
        <v>0</v>
      </c>
      <c r="AU659" s="379">
        <f t="shared" ref="AU659:AU669" si="1037">VLOOKUP($A659,$A$4:$AY$132,47,FALSE)</f>
        <v>0</v>
      </c>
      <c r="AV659" s="379">
        <f t="shared" ref="AV659:AV669" si="1038">VLOOKUP($A659,$A$4:$AY$132,48,FALSE)</f>
        <v>0</v>
      </c>
      <c r="AW659" s="379">
        <f t="shared" ref="AW659:AW669" si="1039">VLOOKUP($A659,$A$4:$AY$132,49,FALSE)</f>
        <v>0</v>
      </c>
      <c r="AX659" s="379">
        <f t="shared" ref="AX659:AX669" si="1040">VLOOKUP($A659,$A$4:$AY$132,50,FALSE)</f>
        <v>0</v>
      </c>
      <c r="AY659" s="379">
        <f t="shared" ref="AY659:AY669" si="1041">VLOOKUP($A659,$A$4:$AY$132,51,FALSE)</f>
        <v>0</v>
      </c>
    </row>
    <row r="660" spans="1:51" x14ac:dyDescent="0.2">
      <c r="A660" s="376">
        <v>11300</v>
      </c>
      <c r="B660" s="378" t="str">
        <f t="shared" si="994"/>
        <v>Burwood (A)</v>
      </c>
      <c r="C660" s="377" t="str">
        <f t="shared" si="995"/>
        <v>SSROC</v>
      </c>
      <c r="D660" s="503" t="str">
        <f t="shared" si="996"/>
        <v>S</v>
      </c>
      <c r="E660" s="503"/>
      <c r="F660"/>
      <c r="G660" s="379">
        <f t="shared" si="997"/>
        <v>36505</v>
      </c>
      <c r="H660" s="379">
        <f t="shared" si="998"/>
        <v>14224</v>
      </c>
      <c r="I660" s="379">
        <f t="shared" si="999"/>
        <v>367</v>
      </c>
      <c r="J660" s="379" t="str">
        <f t="shared" si="1000"/>
        <v>Y</v>
      </c>
      <c r="K660" s="379">
        <f t="shared" si="1001"/>
        <v>14224</v>
      </c>
      <c r="L660" s="379">
        <f t="shared" si="1002"/>
        <v>0</v>
      </c>
      <c r="M660" s="379">
        <f t="shared" si="1003"/>
        <v>14224</v>
      </c>
      <c r="N660" s="379">
        <f t="shared" si="1004"/>
        <v>14224</v>
      </c>
      <c r="O660" s="379">
        <f t="shared" si="1005"/>
        <v>0</v>
      </c>
      <c r="P660" s="379" t="str">
        <f t="shared" si="1006"/>
        <v>Y</v>
      </c>
      <c r="Q660" s="379" t="str">
        <f t="shared" si="1007"/>
        <v>Y</v>
      </c>
      <c r="R660" s="379" t="str">
        <f t="shared" si="1008"/>
        <v>E-waste Drop Off</v>
      </c>
      <c r="S660" s="379">
        <f t="shared" si="1009"/>
        <v>0</v>
      </c>
      <c r="T660" s="379">
        <f t="shared" si="1010"/>
        <v>0</v>
      </c>
      <c r="U660" s="379">
        <f t="shared" si="1011"/>
        <v>0</v>
      </c>
      <c r="V660" s="379">
        <f t="shared" si="1012"/>
        <v>0</v>
      </c>
      <c r="W660" s="379">
        <f t="shared" si="1013"/>
        <v>0</v>
      </c>
      <c r="X660" s="379">
        <f t="shared" si="1014"/>
        <v>0</v>
      </c>
      <c r="Y660" s="379">
        <f t="shared" si="1015"/>
        <v>0</v>
      </c>
      <c r="Z660" s="379">
        <f t="shared" si="1016"/>
        <v>0</v>
      </c>
      <c r="AA660" s="379">
        <f t="shared" si="1017"/>
        <v>0</v>
      </c>
      <c r="AB660" s="379">
        <f t="shared" si="1018"/>
        <v>0</v>
      </c>
      <c r="AC660" s="379">
        <f t="shared" si="1019"/>
        <v>0</v>
      </c>
      <c r="AD660" s="379">
        <f t="shared" si="1020"/>
        <v>0</v>
      </c>
      <c r="AE660" s="379">
        <f t="shared" si="1021"/>
        <v>0</v>
      </c>
      <c r="AF660" s="379">
        <f t="shared" si="1022"/>
        <v>0</v>
      </c>
      <c r="AG660" s="379">
        <f t="shared" si="1023"/>
        <v>0</v>
      </c>
      <c r="AH660" s="379">
        <f t="shared" si="1024"/>
        <v>0</v>
      </c>
      <c r="AI660" s="379">
        <f t="shared" si="1025"/>
        <v>0</v>
      </c>
      <c r="AJ660" s="379">
        <f t="shared" si="1026"/>
        <v>0</v>
      </c>
      <c r="AK660" s="379">
        <f t="shared" si="1027"/>
        <v>0</v>
      </c>
      <c r="AL660" s="379">
        <f t="shared" si="1028"/>
        <v>0</v>
      </c>
      <c r="AM660" s="379">
        <f t="shared" si="1029"/>
        <v>0</v>
      </c>
      <c r="AN660" s="490">
        <f t="shared" si="1030"/>
        <v>0</v>
      </c>
      <c r="AO660" s="379">
        <f t="shared" si="1031"/>
        <v>0</v>
      </c>
      <c r="AP660" s="379">
        <f t="shared" si="1032"/>
        <v>0</v>
      </c>
      <c r="AQ660" s="379">
        <f t="shared" si="1033"/>
        <v>0</v>
      </c>
      <c r="AR660" s="379">
        <f t="shared" si="1034"/>
        <v>0</v>
      </c>
      <c r="AS660" s="379">
        <f t="shared" si="1035"/>
        <v>0</v>
      </c>
      <c r="AT660" s="379">
        <f t="shared" si="1036"/>
        <v>0</v>
      </c>
      <c r="AU660" s="379">
        <f t="shared" si="1037"/>
        <v>0</v>
      </c>
      <c r="AV660" s="379">
        <f t="shared" si="1038"/>
        <v>0</v>
      </c>
      <c r="AW660" s="379">
        <f t="shared" si="1039"/>
        <v>0</v>
      </c>
      <c r="AX660" s="379">
        <f t="shared" si="1040"/>
        <v>0</v>
      </c>
      <c r="AY660" s="379">
        <f t="shared" si="1041"/>
        <v>0</v>
      </c>
    </row>
    <row r="661" spans="1:51" x14ac:dyDescent="0.2">
      <c r="A661" s="376">
        <v>11520</v>
      </c>
      <c r="B661" s="378" t="str">
        <f t="shared" si="994"/>
        <v>Canada Bay (A)</v>
      </c>
      <c r="C661" s="377" t="str">
        <f t="shared" si="995"/>
        <v>SSROC</v>
      </c>
      <c r="D661" s="503" t="str">
        <f t="shared" si="996"/>
        <v>S</v>
      </c>
      <c r="E661" s="503"/>
      <c r="F661"/>
      <c r="G661" s="379">
        <f t="shared" si="997"/>
        <v>90427</v>
      </c>
      <c r="H661" s="379">
        <f t="shared" si="998"/>
        <v>34974</v>
      </c>
      <c r="I661" s="379">
        <f t="shared" si="999"/>
        <v>372.5</v>
      </c>
      <c r="J661" s="379" t="str">
        <f t="shared" si="1000"/>
        <v>Y</v>
      </c>
      <c r="K661" s="379">
        <f t="shared" si="1001"/>
        <v>26129</v>
      </c>
      <c r="L661" s="379">
        <f t="shared" si="1002"/>
        <v>0</v>
      </c>
      <c r="M661" s="379">
        <f t="shared" si="1003"/>
        <v>26573</v>
      </c>
      <c r="N661" s="379">
        <f t="shared" si="1004"/>
        <v>18949</v>
      </c>
      <c r="O661" s="379">
        <f t="shared" si="1005"/>
        <v>0</v>
      </c>
      <c r="P661" s="379" t="str">
        <f t="shared" si="1006"/>
        <v>Y</v>
      </c>
      <c r="Q661" s="379">
        <f t="shared" si="1007"/>
        <v>0</v>
      </c>
      <c r="R661" s="379">
        <f t="shared" si="1008"/>
        <v>0</v>
      </c>
      <c r="S661" s="379">
        <f t="shared" si="1009"/>
        <v>0</v>
      </c>
      <c r="T661" s="379">
        <f t="shared" si="1010"/>
        <v>0</v>
      </c>
      <c r="U661" s="379">
        <f t="shared" si="1011"/>
        <v>0</v>
      </c>
      <c r="V661" s="379">
        <f t="shared" si="1012"/>
        <v>0</v>
      </c>
      <c r="W661" s="379">
        <f t="shared" si="1013"/>
        <v>0</v>
      </c>
      <c r="X661" s="379">
        <f t="shared" si="1014"/>
        <v>0</v>
      </c>
      <c r="Y661" s="379">
        <f t="shared" si="1015"/>
        <v>0</v>
      </c>
      <c r="Z661" s="379">
        <f t="shared" si="1016"/>
        <v>0</v>
      </c>
      <c r="AA661" s="379">
        <f t="shared" si="1017"/>
        <v>0</v>
      </c>
      <c r="AB661" s="379">
        <f t="shared" si="1018"/>
        <v>0</v>
      </c>
      <c r="AC661" s="379">
        <f t="shared" si="1019"/>
        <v>0</v>
      </c>
      <c r="AD661" s="379">
        <f t="shared" si="1020"/>
        <v>0</v>
      </c>
      <c r="AE661" s="379">
        <f t="shared" si="1021"/>
        <v>0</v>
      </c>
      <c r="AF661" s="379">
        <f t="shared" si="1022"/>
        <v>0</v>
      </c>
      <c r="AG661" s="379">
        <f t="shared" si="1023"/>
        <v>0</v>
      </c>
      <c r="AH661" s="379">
        <f t="shared" si="1024"/>
        <v>0</v>
      </c>
      <c r="AI661" s="379">
        <f t="shared" si="1025"/>
        <v>0</v>
      </c>
      <c r="AJ661" s="379">
        <f t="shared" si="1026"/>
        <v>0</v>
      </c>
      <c r="AK661" s="379">
        <f t="shared" si="1027"/>
        <v>0</v>
      </c>
      <c r="AL661" s="379">
        <f t="shared" si="1028"/>
        <v>0</v>
      </c>
      <c r="AM661" s="379">
        <f t="shared" si="1029"/>
        <v>0</v>
      </c>
      <c r="AN661" s="490">
        <f t="shared" si="1030"/>
        <v>0</v>
      </c>
      <c r="AO661" s="379">
        <f t="shared" si="1031"/>
        <v>0</v>
      </c>
      <c r="AP661" s="379">
        <f t="shared" si="1032"/>
        <v>0</v>
      </c>
      <c r="AQ661" s="379">
        <f t="shared" si="1033"/>
        <v>0</v>
      </c>
      <c r="AR661" s="379">
        <f t="shared" si="1034"/>
        <v>0</v>
      </c>
      <c r="AS661" s="379">
        <f t="shared" si="1035"/>
        <v>0</v>
      </c>
      <c r="AT661" s="379">
        <f t="shared" si="1036"/>
        <v>0</v>
      </c>
      <c r="AU661" s="379">
        <f t="shared" si="1037"/>
        <v>0</v>
      </c>
      <c r="AV661" s="379">
        <f t="shared" si="1038"/>
        <v>0</v>
      </c>
      <c r="AW661" s="379">
        <f t="shared" si="1039"/>
        <v>0</v>
      </c>
      <c r="AX661" s="379">
        <f t="shared" si="1040"/>
        <v>0</v>
      </c>
      <c r="AY661" s="379">
        <f t="shared" si="1041"/>
        <v>0</v>
      </c>
    </row>
    <row r="662" spans="1:51" x14ac:dyDescent="0.2">
      <c r="A662" s="376">
        <v>11570</v>
      </c>
      <c r="B662" s="378" t="str">
        <f t="shared" si="994"/>
        <v>Canterbury-Bankstown (A)</v>
      </c>
      <c r="C662" s="377" t="str">
        <f t="shared" si="995"/>
        <v>SSROC</v>
      </c>
      <c r="D662" s="503" t="str">
        <f t="shared" si="996"/>
        <v>S</v>
      </c>
      <c r="E662" s="503"/>
      <c r="F662"/>
      <c r="G662" s="379">
        <f t="shared" si="997"/>
        <v>359671</v>
      </c>
      <c r="H662" s="379">
        <f t="shared" si="998"/>
        <v>114340</v>
      </c>
      <c r="I662" s="379">
        <f t="shared" si="999"/>
        <v>450</v>
      </c>
      <c r="J662" s="379" t="str">
        <f t="shared" si="1000"/>
        <v>Y</v>
      </c>
      <c r="K662" s="379">
        <f t="shared" si="1001"/>
        <v>97684</v>
      </c>
      <c r="L662" s="379">
        <f t="shared" si="1002"/>
        <v>0</v>
      </c>
      <c r="M662" s="379">
        <f t="shared" si="1003"/>
        <v>95567</v>
      </c>
      <c r="N662" s="379">
        <f t="shared" si="1004"/>
        <v>85288</v>
      </c>
      <c r="O662" s="379">
        <f t="shared" si="1005"/>
        <v>0</v>
      </c>
      <c r="P662" s="379" t="str">
        <f t="shared" si="1006"/>
        <v>Y</v>
      </c>
      <c r="Q662" s="379">
        <f t="shared" si="1007"/>
        <v>0</v>
      </c>
      <c r="R662" s="379">
        <f t="shared" si="1008"/>
        <v>0</v>
      </c>
      <c r="S662" s="379">
        <f t="shared" si="1009"/>
        <v>0</v>
      </c>
      <c r="T662" s="379">
        <f t="shared" si="1010"/>
        <v>0</v>
      </c>
      <c r="U662" s="379">
        <f t="shared" si="1011"/>
        <v>0</v>
      </c>
      <c r="V662" s="379">
        <f t="shared" si="1012"/>
        <v>0</v>
      </c>
      <c r="W662" s="379">
        <f t="shared" si="1013"/>
        <v>0</v>
      </c>
      <c r="X662" s="379">
        <f t="shared" si="1014"/>
        <v>0</v>
      </c>
      <c r="Y662" s="379">
        <f t="shared" si="1015"/>
        <v>0</v>
      </c>
      <c r="Z662" s="379">
        <f t="shared" si="1016"/>
        <v>0</v>
      </c>
      <c r="AA662" s="379">
        <f t="shared" si="1017"/>
        <v>0</v>
      </c>
      <c r="AB662" s="379">
        <f t="shared" si="1018"/>
        <v>0</v>
      </c>
      <c r="AC662" s="379">
        <f t="shared" si="1019"/>
        <v>0</v>
      </c>
      <c r="AD662" s="379">
        <f t="shared" si="1020"/>
        <v>0</v>
      </c>
      <c r="AE662" s="379">
        <f t="shared" si="1021"/>
        <v>0</v>
      </c>
      <c r="AF662" s="379">
        <f t="shared" si="1022"/>
        <v>0</v>
      </c>
      <c r="AG662" s="379">
        <f t="shared" si="1023"/>
        <v>0</v>
      </c>
      <c r="AH662" s="379">
        <f t="shared" si="1024"/>
        <v>0</v>
      </c>
      <c r="AI662" s="379">
        <f t="shared" si="1025"/>
        <v>0</v>
      </c>
      <c r="AJ662" s="379">
        <f t="shared" si="1026"/>
        <v>0</v>
      </c>
      <c r="AK662" s="379">
        <f t="shared" si="1027"/>
        <v>0</v>
      </c>
      <c r="AL662" s="379">
        <f t="shared" si="1028"/>
        <v>0</v>
      </c>
      <c r="AM662" s="379">
        <f t="shared" si="1029"/>
        <v>0</v>
      </c>
      <c r="AN662" s="490">
        <f t="shared" si="1030"/>
        <v>0</v>
      </c>
      <c r="AO662" s="379">
        <f t="shared" si="1031"/>
        <v>0</v>
      </c>
      <c r="AP662" s="379">
        <f t="shared" si="1032"/>
        <v>0</v>
      </c>
      <c r="AQ662" s="379">
        <f t="shared" si="1033"/>
        <v>0</v>
      </c>
      <c r="AR662" s="379">
        <f t="shared" si="1034"/>
        <v>0</v>
      </c>
      <c r="AS662" s="379">
        <f t="shared" si="1035"/>
        <v>0</v>
      </c>
      <c r="AT662" s="379">
        <f t="shared" si="1036"/>
        <v>0</v>
      </c>
      <c r="AU662" s="379">
        <f t="shared" si="1037"/>
        <v>0</v>
      </c>
      <c r="AV662" s="379">
        <f t="shared" si="1038"/>
        <v>0</v>
      </c>
      <c r="AW662" s="379">
        <f t="shared" si="1039"/>
        <v>0</v>
      </c>
      <c r="AX662" s="379">
        <f t="shared" si="1040"/>
        <v>0</v>
      </c>
      <c r="AY662" s="379">
        <f t="shared" si="1041"/>
        <v>0</v>
      </c>
    </row>
    <row r="663" spans="1:51" x14ac:dyDescent="0.2">
      <c r="A663" s="376">
        <v>12930</v>
      </c>
      <c r="B663" s="378" t="str">
        <f t="shared" si="994"/>
        <v>Georges River (A)</v>
      </c>
      <c r="C663" s="377" t="str">
        <f t="shared" si="995"/>
        <v>SSROC</v>
      </c>
      <c r="D663" s="503" t="str">
        <f t="shared" si="996"/>
        <v>S</v>
      </c>
      <c r="E663" s="503"/>
      <c r="F663"/>
      <c r="G663" s="379">
        <f t="shared" si="997"/>
        <v>149489</v>
      </c>
      <c r="H663" s="379">
        <f t="shared" si="998"/>
        <v>54667</v>
      </c>
      <c r="I663" s="379">
        <f t="shared" si="999"/>
        <v>405.84</v>
      </c>
      <c r="J663" s="379" t="str">
        <f t="shared" si="1000"/>
        <v>Y</v>
      </c>
      <c r="K663" s="379">
        <f t="shared" si="1001"/>
        <v>48332</v>
      </c>
      <c r="L663" s="379">
        <f t="shared" si="1002"/>
        <v>0</v>
      </c>
      <c r="M663" s="379">
        <f t="shared" si="1003"/>
        <v>29154</v>
      </c>
      <c r="N663" s="379">
        <f t="shared" si="1004"/>
        <v>18849</v>
      </c>
      <c r="O663" s="379">
        <f t="shared" si="1005"/>
        <v>0</v>
      </c>
      <c r="P663" s="379" t="str">
        <f t="shared" si="1006"/>
        <v>Y</v>
      </c>
      <c r="Q663" s="379" t="str">
        <f t="shared" si="1007"/>
        <v>Y</v>
      </c>
      <c r="R663" s="379" t="str">
        <f t="shared" si="1008"/>
        <v>Depot Rd Mortdale</v>
      </c>
      <c r="S663" s="379">
        <f t="shared" si="1009"/>
        <v>0</v>
      </c>
      <c r="T663" s="379">
        <f t="shared" si="1010"/>
        <v>0</v>
      </c>
      <c r="U663" s="379">
        <f t="shared" si="1011"/>
        <v>0</v>
      </c>
      <c r="V663" s="379">
        <f t="shared" si="1012"/>
        <v>0</v>
      </c>
      <c r="W663" s="379">
        <f t="shared" si="1013"/>
        <v>0</v>
      </c>
      <c r="X663" s="379">
        <f t="shared" si="1014"/>
        <v>0</v>
      </c>
      <c r="Y663" s="379">
        <f t="shared" si="1015"/>
        <v>0</v>
      </c>
      <c r="Z663" s="379">
        <f t="shared" si="1016"/>
        <v>0</v>
      </c>
      <c r="AA663" s="379">
        <f t="shared" si="1017"/>
        <v>0</v>
      </c>
      <c r="AB663" s="379">
        <f t="shared" si="1018"/>
        <v>0</v>
      </c>
      <c r="AC663" s="379">
        <f t="shared" si="1019"/>
        <v>0</v>
      </c>
      <c r="AD663" s="379">
        <f t="shared" si="1020"/>
        <v>0</v>
      </c>
      <c r="AE663" s="379">
        <f t="shared" si="1021"/>
        <v>0</v>
      </c>
      <c r="AF663" s="379">
        <f t="shared" si="1022"/>
        <v>0</v>
      </c>
      <c r="AG663" s="379">
        <f t="shared" si="1023"/>
        <v>0</v>
      </c>
      <c r="AH663" s="379">
        <f t="shared" si="1024"/>
        <v>0</v>
      </c>
      <c r="AI663" s="379">
        <f t="shared" si="1025"/>
        <v>0</v>
      </c>
      <c r="AJ663" s="379">
        <f t="shared" si="1026"/>
        <v>0</v>
      </c>
      <c r="AK663" s="379">
        <f t="shared" si="1027"/>
        <v>0</v>
      </c>
      <c r="AL663" s="379">
        <f t="shared" si="1028"/>
        <v>0</v>
      </c>
      <c r="AM663" s="379">
        <f t="shared" si="1029"/>
        <v>0</v>
      </c>
      <c r="AN663" s="490">
        <f t="shared" si="1030"/>
        <v>0</v>
      </c>
      <c r="AO663" s="379">
        <f t="shared" si="1031"/>
        <v>0</v>
      </c>
      <c r="AP663" s="379">
        <f t="shared" si="1032"/>
        <v>0</v>
      </c>
      <c r="AQ663" s="379">
        <f t="shared" si="1033"/>
        <v>0</v>
      </c>
      <c r="AR663" s="379">
        <f t="shared" si="1034"/>
        <v>0</v>
      </c>
      <c r="AS663" s="379">
        <f t="shared" si="1035"/>
        <v>0</v>
      </c>
      <c r="AT663" s="379">
        <f t="shared" si="1036"/>
        <v>0</v>
      </c>
      <c r="AU663" s="379">
        <f t="shared" si="1037"/>
        <v>0</v>
      </c>
      <c r="AV663" s="379">
        <f t="shared" si="1038"/>
        <v>0</v>
      </c>
      <c r="AW663" s="379">
        <f t="shared" si="1039"/>
        <v>0</v>
      </c>
      <c r="AX663" s="379">
        <f t="shared" si="1040"/>
        <v>0</v>
      </c>
      <c r="AY663" s="379">
        <f t="shared" si="1041"/>
        <v>0</v>
      </c>
    </row>
    <row r="664" spans="1:51" x14ac:dyDescent="0.2">
      <c r="A664" s="376">
        <v>14170</v>
      </c>
      <c r="B664" s="378" t="str">
        <f t="shared" si="994"/>
        <v>Inner West (A)</v>
      </c>
      <c r="C664" s="377" t="str">
        <f t="shared" si="995"/>
        <v>SSROC</v>
      </c>
      <c r="D664" s="503" t="str">
        <f t="shared" si="996"/>
        <v>S</v>
      </c>
      <c r="E664" s="503"/>
      <c r="F664"/>
      <c r="G664" s="379">
        <f t="shared" si="997"/>
        <v>189576</v>
      </c>
      <c r="H664" s="379">
        <f t="shared" si="998"/>
        <v>74418</v>
      </c>
      <c r="I664" s="379">
        <f t="shared" si="999"/>
        <v>386.28</v>
      </c>
      <c r="J664" s="379" t="str">
        <f t="shared" si="1000"/>
        <v>Y</v>
      </c>
      <c r="K664" s="379">
        <f t="shared" si="1001"/>
        <v>72903</v>
      </c>
      <c r="L664" s="379">
        <f t="shared" si="1002"/>
        <v>0</v>
      </c>
      <c r="M664" s="379">
        <f t="shared" si="1003"/>
        <v>73041</v>
      </c>
      <c r="N664" s="379">
        <f t="shared" si="1004"/>
        <v>24104</v>
      </c>
      <c r="O664" s="379">
        <f t="shared" si="1005"/>
        <v>618</v>
      </c>
      <c r="P664" s="379" t="str">
        <f t="shared" si="1006"/>
        <v>Y</v>
      </c>
      <c r="Q664" s="379" t="str">
        <f t="shared" si="1007"/>
        <v>Y</v>
      </c>
      <c r="R664" s="379" t="str">
        <f t="shared" si="1008"/>
        <v>Moore St CRC</v>
      </c>
      <c r="S664" s="379">
        <f t="shared" si="1009"/>
        <v>0</v>
      </c>
      <c r="T664" s="379">
        <f t="shared" si="1010"/>
        <v>0</v>
      </c>
      <c r="U664" s="379">
        <f t="shared" si="1011"/>
        <v>0</v>
      </c>
      <c r="V664" s="379">
        <f t="shared" si="1012"/>
        <v>0</v>
      </c>
      <c r="W664" s="379">
        <f t="shared" si="1013"/>
        <v>0</v>
      </c>
      <c r="X664" s="379">
        <f t="shared" si="1014"/>
        <v>0</v>
      </c>
      <c r="Y664" s="379">
        <f t="shared" si="1015"/>
        <v>0</v>
      </c>
      <c r="Z664" s="379">
        <f t="shared" si="1016"/>
        <v>0</v>
      </c>
      <c r="AA664" s="379">
        <f t="shared" si="1017"/>
        <v>0</v>
      </c>
      <c r="AB664" s="379">
        <f t="shared" si="1018"/>
        <v>0</v>
      </c>
      <c r="AC664" s="379">
        <f t="shared" si="1019"/>
        <v>0</v>
      </c>
      <c r="AD664" s="379">
        <f t="shared" si="1020"/>
        <v>0</v>
      </c>
      <c r="AE664" s="379">
        <f t="shared" si="1021"/>
        <v>0</v>
      </c>
      <c r="AF664" s="379">
        <f t="shared" si="1022"/>
        <v>0</v>
      </c>
      <c r="AG664" s="379">
        <f t="shared" si="1023"/>
        <v>0</v>
      </c>
      <c r="AH664" s="379">
        <f t="shared" si="1024"/>
        <v>0</v>
      </c>
      <c r="AI664" s="379">
        <f t="shared" si="1025"/>
        <v>0</v>
      </c>
      <c r="AJ664" s="379">
        <f t="shared" si="1026"/>
        <v>0</v>
      </c>
      <c r="AK664" s="379">
        <f t="shared" si="1027"/>
        <v>0</v>
      </c>
      <c r="AL664" s="379">
        <f t="shared" si="1028"/>
        <v>0</v>
      </c>
      <c r="AM664" s="379">
        <f t="shared" si="1029"/>
        <v>0</v>
      </c>
      <c r="AN664" s="490">
        <f t="shared" si="1030"/>
        <v>0</v>
      </c>
      <c r="AO664" s="379">
        <f t="shared" si="1031"/>
        <v>0</v>
      </c>
      <c r="AP664" s="379">
        <f t="shared" si="1032"/>
        <v>0</v>
      </c>
      <c r="AQ664" s="379">
        <f t="shared" si="1033"/>
        <v>0</v>
      </c>
      <c r="AR664" s="379">
        <f t="shared" si="1034"/>
        <v>0</v>
      </c>
      <c r="AS664" s="379">
        <f t="shared" si="1035"/>
        <v>0</v>
      </c>
      <c r="AT664" s="379">
        <f t="shared" si="1036"/>
        <v>0</v>
      </c>
      <c r="AU664" s="379">
        <f t="shared" si="1037"/>
        <v>0</v>
      </c>
      <c r="AV664" s="379">
        <f t="shared" si="1038"/>
        <v>0</v>
      </c>
      <c r="AW664" s="379">
        <f t="shared" si="1039"/>
        <v>0</v>
      </c>
      <c r="AX664" s="379">
        <f t="shared" si="1040"/>
        <v>0</v>
      </c>
      <c r="AY664" s="379">
        <f t="shared" si="1041"/>
        <v>0</v>
      </c>
    </row>
    <row r="665" spans="1:51" x14ac:dyDescent="0.2">
      <c r="A665" s="376">
        <v>16550</v>
      </c>
      <c r="B665" s="378" t="str">
        <f t="shared" si="994"/>
        <v>Randwick (C)</v>
      </c>
      <c r="C665" s="377" t="str">
        <f t="shared" si="995"/>
        <v>SSROC</v>
      </c>
      <c r="D665" s="503" t="str">
        <f t="shared" si="996"/>
        <v>S</v>
      </c>
      <c r="E665" s="503"/>
      <c r="F665"/>
      <c r="G665" s="379">
        <f t="shared" si="997"/>
        <v>147408</v>
      </c>
      <c r="H665" s="379">
        <f t="shared" si="998"/>
        <v>57679</v>
      </c>
      <c r="I665" s="379">
        <f t="shared" si="999"/>
        <v>543</v>
      </c>
      <c r="J665" s="379" t="str">
        <f t="shared" si="1000"/>
        <v>Y</v>
      </c>
      <c r="K665" s="379">
        <f t="shared" si="1001"/>
        <v>40605</v>
      </c>
      <c r="L665" s="379" t="str">
        <f t="shared" si="1002"/>
        <v>Y</v>
      </c>
      <c r="M665" s="379">
        <f t="shared" si="1003"/>
        <v>41710</v>
      </c>
      <c r="N665" s="379">
        <f t="shared" si="1004"/>
        <v>30443</v>
      </c>
      <c r="O665" s="379">
        <f t="shared" si="1005"/>
        <v>0</v>
      </c>
      <c r="P665" s="379" t="str">
        <f t="shared" si="1006"/>
        <v>Y</v>
      </c>
      <c r="Q665" s="379" t="str">
        <f t="shared" si="1007"/>
        <v>Y</v>
      </c>
      <c r="R665" s="379" t="str">
        <f t="shared" si="1008"/>
        <v>Randwick Recycling Centre</v>
      </c>
      <c r="S665" s="379">
        <f t="shared" si="1009"/>
        <v>0</v>
      </c>
      <c r="T665" s="379">
        <f t="shared" si="1010"/>
        <v>0</v>
      </c>
      <c r="U665" s="379">
        <f t="shared" si="1011"/>
        <v>0</v>
      </c>
      <c r="V665" s="379">
        <f t="shared" si="1012"/>
        <v>0</v>
      </c>
      <c r="W665" s="379">
        <f t="shared" si="1013"/>
        <v>0</v>
      </c>
      <c r="X665" s="379">
        <f t="shared" si="1014"/>
        <v>0</v>
      </c>
      <c r="Y665" s="379">
        <f t="shared" si="1015"/>
        <v>0</v>
      </c>
      <c r="Z665" s="379">
        <f t="shared" si="1016"/>
        <v>0</v>
      </c>
      <c r="AA665" s="379">
        <f t="shared" si="1017"/>
        <v>0</v>
      </c>
      <c r="AB665" s="379">
        <f t="shared" si="1018"/>
        <v>0</v>
      </c>
      <c r="AC665" s="379">
        <f t="shared" si="1019"/>
        <v>0</v>
      </c>
      <c r="AD665" s="379">
        <f t="shared" si="1020"/>
        <v>0</v>
      </c>
      <c r="AE665" s="379">
        <f t="shared" si="1021"/>
        <v>0</v>
      </c>
      <c r="AF665" s="379">
        <f t="shared" si="1022"/>
        <v>0</v>
      </c>
      <c r="AG665" s="379">
        <f t="shared" si="1023"/>
        <v>0</v>
      </c>
      <c r="AH665" s="379">
        <f t="shared" si="1024"/>
        <v>0</v>
      </c>
      <c r="AI665" s="379">
        <f t="shared" si="1025"/>
        <v>0</v>
      </c>
      <c r="AJ665" s="379">
        <f t="shared" si="1026"/>
        <v>0</v>
      </c>
      <c r="AK665" s="379">
        <f t="shared" si="1027"/>
        <v>0</v>
      </c>
      <c r="AL665" s="379">
        <f t="shared" si="1028"/>
        <v>0</v>
      </c>
      <c r="AM665" s="379">
        <f t="shared" si="1029"/>
        <v>0</v>
      </c>
      <c r="AN665" s="490">
        <f t="shared" si="1030"/>
        <v>0</v>
      </c>
      <c r="AO665" s="379">
        <f t="shared" si="1031"/>
        <v>0</v>
      </c>
      <c r="AP665" s="379">
        <f t="shared" si="1032"/>
        <v>0</v>
      </c>
      <c r="AQ665" s="379">
        <f t="shared" si="1033"/>
        <v>0</v>
      </c>
      <c r="AR665" s="379">
        <f t="shared" si="1034"/>
        <v>0</v>
      </c>
      <c r="AS665" s="379">
        <f t="shared" si="1035"/>
        <v>0</v>
      </c>
      <c r="AT665" s="379">
        <f t="shared" si="1036"/>
        <v>0</v>
      </c>
      <c r="AU665" s="379">
        <f t="shared" si="1037"/>
        <v>0</v>
      </c>
      <c r="AV665" s="379">
        <f t="shared" si="1038"/>
        <v>0</v>
      </c>
      <c r="AW665" s="379">
        <f t="shared" si="1039"/>
        <v>0</v>
      </c>
      <c r="AX665" s="379">
        <f t="shared" si="1040"/>
        <v>0</v>
      </c>
      <c r="AY665" s="379">
        <f t="shared" si="1041"/>
        <v>0</v>
      </c>
    </row>
    <row r="666" spans="1:51" x14ac:dyDescent="0.2">
      <c r="A666" s="376">
        <v>17150</v>
      </c>
      <c r="B666" s="378" t="str">
        <f t="shared" si="994"/>
        <v>Sutherland Shire (A)</v>
      </c>
      <c r="C666" s="377" t="str">
        <f t="shared" si="995"/>
        <v>SSROC</v>
      </c>
      <c r="D666" s="503" t="str">
        <f t="shared" si="996"/>
        <v>S</v>
      </c>
      <c r="E666" s="503"/>
      <c r="F666"/>
      <c r="G666" s="379">
        <f t="shared" si="997"/>
        <v>227312</v>
      </c>
      <c r="H666" s="379">
        <f t="shared" si="998"/>
        <v>94814</v>
      </c>
      <c r="I666" s="379">
        <f t="shared" si="999"/>
        <v>456.3</v>
      </c>
      <c r="J666" s="379" t="str">
        <f t="shared" si="1000"/>
        <v>Y</v>
      </c>
      <c r="K666" s="379">
        <f t="shared" si="1001"/>
        <v>83738</v>
      </c>
      <c r="L666" s="379">
        <f t="shared" si="1002"/>
        <v>0</v>
      </c>
      <c r="M666" s="379">
        <f t="shared" si="1003"/>
        <v>83738</v>
      </c>
      <c r="N666" s="379">
        <f t="shared" si="1004"/>
        <v>83738</v>
      </c>
      <c r="O666" s="379">
        <f t="shared" si="1005"/>
        <v>0</v>
      </c>
      <c r="P666" s="379" t="str">
        <f t="shared" si="1006"/>
        <v>Y</v>
      </c>
      <c r="Q666" s="379">
        <f t="shared" si="1007"/>
        <v>0</v>
      </c>
      <c r="R666" s="379">
        <f t="shared" si="1008"/>
        <v>0</v>
      </c>
      <c r="S666" s="379">
        <f t="shared" si="1009"/>
        <v>0</v>
      </c>
      <c r="T666" s="379">
        <f t="shared" si="1010"/>
        <v>0</v>
      </c>
      <c r="U666" s="379">
        <f t="shared" si="1011"/>
        <v>0</v>
      </c>
      <c r="V666" s="379">
        <f t="shared" si="1012"/>
        <v>0</v>
      </c>
      <c r="W666" s="379">
        <f t="shared" si="1013"/>
        <v>0</v>
      </c>
      <c r="X666" s="379">
        <f t="shared" si="1014"/>
        <v>0</v>
      </c>
      <c r="Y666" s="379">
        <f t="shared" si="1015"/>
        <v>0</v>
      </c>
      <c r="Z666" s="379">
        <f t="shared" si="1016"/>
        <v>0</v>
      </c>
      <c r="AA666" s="379">
        <f t="shared" si="1017"/>
        <v>0</v>
      </c>
      <c r="AB666" s="379">
        <f t="shared" si="1018"/>
        <v>0</v>
      </c>
      <c r="AC666" s="379">
        <f t="shared" si="1019"/>
        <v>0</v>
      </c>
      <c r="AD666" s="379">
        <f t="shared" si="1020"/>
        <v>0</v>
      </c>
      <c r="AE666" s="379">
        <f t="shared" si="1021"/>
        <v>0</v>
      </c>
      <c r="AF666" s="379">
        <f t="shared" si="1022"/>
        <v>0</v>
      </c>
      <c r="AG666" s="379">
        <f t="shared" si="1023"/>
        <v>0</v>
      </c>
      <c r="AH666" s="379">
        <f t="shared" si="1024"/>
        <v>0</v>
      </c>
      <c r="AI666" s="379">
        <f t="shared" si="1025"/>
        <v>0</v>
      </c>
      <c r="AJ666" s="379">
        <f t="shared" si="1026"/>
        <v>0</v>
      </c>
      <c r="AK666" s="379">
        <f t="shared" si="1027"/>
        <v>0</v>
      </c>
      <c r="AL666" s="379">
        <f t="shared" si="1028"/>
        <v>0</v>
      </c>
      <c r="AM666" s="379">
        <f t="shared" si="1029"/>
        <v>0</v>
      </c>
      <c r="AN666" s="490">
        <f t="shared" si="1030"/>
        <v>0</v>
      </c>
      <c r="AO666" s="379">
        <f t="shared" si="1031"/>
        <v>0</v>
      </c>
      <c r="AP666" s="379">
        <f t="shared" si="1032"/>
        <v>0</v>
      </c>
      <c r="AQ666" s="379">
        <f t="shared" si="1033"/>
        <v>0</v>
      </c>
      <c r="AR666" s="379">
        <f t="shared" si="1034"/>
        <v>0</v>
      </c>
      <c r="AS666" s="379">
        <f t="shared" si="1035"/>
        <v>0</v>
      </c>
      <c r="AT666" s="379">
        <f t="shared" si="1036"/>
        <v>0</v>
      </c>
      <c r="AU666" s="379">
        <f t="shared" si="1037"/>
        <v>0</v>
      </c>
      <c r="AV666" s="379">
        <f t="shared" si="1038"/>
        <v>0</v>
      </c>
      <c r="AW666" s="379">
        <f t="shared" si="1039"/>
        <v>0</v>
      </c>
      <c r="AX666" s="379">
        <f t="shared" si="1040"/>
        <v>0</v>
      </c>
      <c r="AY666" s="379">
        <f t="shared" si="1041"/>
        <v>0</v>
      </c>
    </row>
    <row r="667" spans="1:51" x14ac:dyDescent="0.2">
      <c r="A667" s="376">
        <v>17200</v>
      </c>
      <c r="B667" s="378" t="str">
        <f t="shared" si="994"/>
        <v>Sydney (C)</v>
      </c>
      <c r="C667" s="377" t="str">
        <f t="shared" si="995"/>
        <v>SSROC</v>
      </c>
      <c r="D667" s="503" t="str">
        <f t="shared" si="996"/>
        <v>S</v>
      </c>
      <c r="E667" s="503"/>
      <c r="F667"/>
      <c r="G667" s="379">
        <f t="shared" si="997"/>
        <v>210931</v>
      </c>
      <c r="H667" s="379">
        <f t="shared" si="998"/>
        <v>118454</v>
      </c>
      <c r="I667" s="379">
        <f t="shared" si="999"/>
        <v>411</v>
      </c>
      <c r="J667" s="379" t="str">
        <f t="shared" si="1000"/>
        <v>Y</v>
      </c>
      <c r="K667" s="379">
        <f t="shared" si="1001"/>
        <v>106471</v>
      </c>
      <c r="L667" s="379" t="str">
        <f t="shared" si="1002"/>
        <v>Y</v>
      </c>
      <c r="M667" s="379">
        <f t="shared" si="1003"/>
        <v>106471</v>
      </c>
      <c r="N667" s="379">
        <f t="shared" si="1004"/>
        <v>9083</v>
      </c>
      <c r="O667" s="379">
        <f t="shared" si="1005"/>
        <v>0</v>
      </c>
      <c r="P667" s="379" t="str">
        <f t="shared" si="1006"/>
        <v>Y</v>
      </c>
      <c r="Q667" s="379">
        <f t="shared" si="1007"/>
        <v>0</v>
      </c>
      <c r="R667" s="379">
        <f t="shared" si="1008"/>
        <v>0</v>
      </c>
      <c r="S667" s="379">
        <f t="shared" si="1009"/>
        <v>0</v>
      </c>
      <c r="T667" s="379">
        <f t="shared" si="1010"/>
        <v>0</v>
      </c>
      <c r="U667" s="379">
        <f t="shared" si="1011"/>
        <v>0</v>
      </c>
      <c r="V667" s="379">
        <f t="shared" si="1012"/>
        <v>0</v>
      </c>
      <c r="W667" s="379">
        <f t="shared" si="1013"/>
        <v>0</v>
      </c>
      <c r="X667" s="379">
        <f t="shared" si="1014"/>
        <v>0</v>
      </c>
      <c r="Y667" s="379">
        <f t="shared" si="1015"/>
        <v>0</v>
      </c>
      <c r="Z667" s="379">
        <f t="shared" si="1016"/>
        <v>0</v>
      </c>
      <c r="AA667" s="379">
        <f t="shared" si="1017"/>
        <v>0</v>
      </c>
      <c r="AB667" s="379">
        <f t="shared" si="1018"/>
        <v>0</v>
      </c>
      <c r="AC667" s="379">
        <f t="shared" si="1019"/>
        <v>0</v>
      </c>
      <c r="AD667" s="379">
        <f t="shared" si="1020"/>
        <v>0</v>
      </c>
      <c r="AE667" s="379">
        <f t="shared" si="1021"/>
        <v>0</v>
      </c>
      <c r="AF667" s="379">
        <f t="shared" si="1022"/>
        <v>0</v>
      </c>
      <c r="AG667" s="379">
        <f t="shared" si="1023"/>
        <v>0</v>
      </c>
      <c r="AH667" s="379">
        <f t="shared" si="1024"/>
        <v>0</v>
      </c>
      <c r="AI667" s="379">
        <f t="shared" si="1025"/>
        <v>0</v>
      </c>
      <c r="AJ667" s="379">
        <f t="shared" si="1026"/>
        <v>0</v>
      </c>
      <c r="AK667" s="379">
        <f t="shared" si="1027"/>
        <v>0</v>
      </c>
      <c r="AL667" s="379">
        <f t="shared" si="1028"/>
        <v>0</v>
      </c>
      <c r="AM667" s="379">
        <f t="shared" si="1029"/>
        <v>0</v>
      </c>
      <c r="AN667" s="490">
        <f t="shared" si="1030"/>
        <v>0</v>
      </c>
      <c r="AO667" s="379">
        <f t="shared" si="1031"/>
        <v>0</v>
      </c>
      <c r="AP667" s="379">
        <f t="shared" si="1032"/>
        <v>0</v>
      </c>
      <c r="AQ667" s="379">
        <f t="shared" si="1033"/>
        <v>0</v>
      </c>
      <c r="AR667" s="379">
        <f t="shared" si="1034"/>
        <v>0</v>
      </c>
      <c r="AS667" s="379">
        <f t="shared" si="1035"/>
        <v>0</v>
      </c>
      <c r="AT667" s="379">
        <f t="shared" si="1036"/>
        <v>0</v>
      </c>
      <c r="AU667" s="379">
        <f t="shared" si="1037"/>
        <v>0</v>
      </c>
      <c r="AV667" s="379">
        <f t="shared" si="1038"/>
        <v>0</v>
      </c>
      <c r="AW667" s="379">
        <f t="shared" si="1039"/>
        <v>0</v>
      </c>
      <c r="AX667" s="379">
        <f t="shared" si="1040"/>
        <v>0</v>
      </c>
      <c r="AY667" s="379">
        <f t="shared" si="1041"/>
        <v>0</v>
      </c>
    </row>
    <row r="668" spans="1:51" x14ac:dyDescent="0.2">
      <c r="A668" s="376">
        <v>18050</v>
      </c>
      <c r="B668" s="378" t="str">
        <f t="shared" si="994"/>
        <v>Waverley (A)</v>
      </c>
      <c r="C668" s="377" t="str">
        <f t="shared" si="995"/>
        <v>SSROC</v>
      </c>
      <c r="D668" s="503" t="str">
        <f t="shared" si="996"/>
        <v>S</v>
      </c>
      <c r="E668" s="503"/>
      <c r="F668"/>
      <c r="G668" s="379">
        <f t="shared" si="997"/>
        <v>73366</v>
      </c>
      <c r="H668" s="379">
        <f t="shared" si="998"/>
        <v>29155</v>
      </c>
      <c r="I668" s="379">
        <f t="shared" si="999"/>
        <v>500</v>
      </c>
      <c r="J668" s="379" t="str">
        <f t="shared" si="1000"/>
        <v>Y</v>
      </c>
      <c r="K668" s="379">
        <f t="shared" si="1001"/>
        <v>29155</v>
      </c>
      <c r="L668" s="379">
        <f t="shared" si="1002"/>
        <v>0</v>
      </c>
      <c r="M668" s="379">
        <f t="shared" si="1003"/>
        <v>29155</v>
      </c>
      <c r="N668" s="379">
        <f t="shared" si="1004"/>
        <v>12220</v>
      </c>
      <c r="O668" s="379">
        <f t="shared" si="1005"/>
        <v>0</v>
      </c>
      <c r="P668" s="379" t="str">
        <f t="shared" si="1006"/>
        <v>Y</v>
      </c>
      <c r="Q668" s="379">
        <f t="shared" si="1007"/>
        <v>0</v>
      </c>
      <c r="R668" s="379">
        <f t="shared" si="1008"/>
        <v>0</v>
      </c>
      <c r="S668" s="379">
        <f t="shared" si="1009"/>
        <v>0</v>
      </c>
      <c r="T668" s="379">
        <f t="shared" si="1010"/>
        <v>0</v>
      </c>
      <c r="U668" s="379">
        <f t="shared" si="1011"/>
        <v>0</v>
      </c>
      <c r="V668" s="379">
        <f t="shared" si="1012"/>
        <v>0</v>
      </c>
      <c r="W668" s="379">
        <f t="shared" si="1013"/>
        <v>0</v>
      </c>
      <c r="X668" s="379">
        <f t="shared" si="1014"/>
        <v>0</v>
      </c>
      <c r="Y668" s="379">
        <f t="shared" si="1015"/>
        <v>0</v>
      </c>
      <c r="Z668" s="379">
        <f t="shared" si="1016"/>
        <v>0</v>
      </c>
      <c r="AA668" s="379">
        <f t="shared" si="1017"/>
        <v>0</v>
      </c>
      <c r="AB668" s="379">
        <f t="shared" si="1018"/>
        <v>0</v>
      </c>
      <c r="AC668" s="379">
        <f t="shared" si="1019"/>
        <v>0</v>
      </c>
      <c r="AD668" s="379">
        <f t="shared" si="1020"/>
        <v>0</v>
      </c>
      <c r="AE668" s="379">
        <f t="shared" si="1021"/>
        <v>0</v>
      </c>
      <c r="AF668" s="379">
        <f t="shared" si="1022"/>
        <v>0</v>
      </c>
      <c r="AG668" s="379">
        <f t="shared" si="1023"/>
        <v>0</v>
      </c>
      <c r="AH668" s="379">
        <f t="shared" si="1024"/>
        <v>0</v>
      </c>
      <c r="AI668" s="379">
        <f t="shared" si="1025"/>
        <v>0</v>
      </c>
      <c r="AJ668" s="379">
        <f t="shared" si="1026"/>
        <v>0</v>
      </c>
      <c r="AK668" s="379">
        <f t="shared" si="1027"/>
        <v>0</v>
      </c>
      <c r="AL668" s="379">
        <f t="shared" si="1028"/>
        <v>0</v>
      </c>
      <c r="AM668" s="379">
        <f t="shared" si="1029"/>
        <v>0</v>
      </c>
      <c r="AN668" s="490">
        <f t="shared" si="1030"/>
        <v>0</v>
      </c>
      <c r="AO668" s="379">
        <f t="shared" si="1031"/>
        <v>0</v>
      </c>
      <c r="AP668" s="379">
        <f t="shared" si="1032"/>
        <v>0</v>
      </c>
      <c r="AQ668" s="379">
        <f t="shared" si="1033"/>
        <v>0</v>
      </c>
      <c r="AR668" s="379">
        <f t="shared" si="1034"/>
        <v>0</v>
      </c>
      <c r="AS668" s="379">
        <f t="shared" si="1035"/>
        <v>0</v>
      </c>
      <c r="AT668" s="379">
        <f t="shared" si="1036"/>
        <v>0</v>
      </c>
      <c r="AU668" s="379">
        <f t="shared" si="1037"/>
        <v>0</v>
      </c>
      <c r="AV668" s="379">
        <f t="shared" si="1038"/>
        <v>0</v>
      </c>
      <c r="AW668" s="379">
        <f t="shared" si="1039"/>
        <v>0</v>
      </c>
      <c r="AX668" s="379">
        <f t="shared" si="1040"/>
        <v>0</v>
      </c>
      <c r="AY668" s="379">
        <f t="shared" si="1041"/>
        <v>0</v>
      </c>
    </row>
    <row r="669" spans="1:51" ht="13.5" thickBot="1" x14ac:dyDescent="0.25">
      <c r="A669" s="376">
        <v>18500</v>
      </c>
      <c r="B669" s="378" t="str">
        <f t="shared" si="994"/>
        <v>Woollahra (A)</v>
      </c>
      <c r="C669" s="377" t="str">
        <f t="shared" si="995"/>
        <v>SSROC</v>
      </c>
      <c r="D669" s="503" t="str">
        <f t="shared" si="996"/>
        <v>S</v>
      </c>
      <c r="E669" s="503"/>
      <c r="F669"/>
      <c r="G669" s="379">
        <f t="shared" si="997"/>
        <v>59860</v>
      </c>
      <c r="H669" s="379">
        <f t="shared" si="998"/>
        <v>24755</v>
      </c>
      <c r="I669" s="379">
        <f t="shared" si="999"/>
        <v>508.5</v>
      </c>
      <c r="J669" s="379" t="str">
        <f t="shared" si="1000"/>
        <v>Y</v>
      </c>
      <c r="K669" s="379">
        <f t="shared" si="1001"/>
        <v>24755</v>
      </c>
      <c r="L669" s="379">
        <f t="shared" si="1002"/>
        <v>0</v>
      </c>
      <c r="M669" s="379">
        <f t="shared" si="1003"/>
        <v>24755</v>
      </c>
      <c r="N669" s="379">
        <f t="shared" si="1004"/>
        <v>0</v>
      </c>
      <c r="O669" s="379">
        <f t="shared" si="1005"/>
        <v>24755</v>
      </c>
      <c r="P669" s="379" t="str">
        <f t="shared" si="1006"/>
        <v>Y</v>
      </c>
      <c r="Q669" s="379">
        <f t="shared" si="1007"/>
        <v>0</v>
      </c>
      <c r="R669" s="379">
        <f t="shared" si="1008"/>
        <v>0</v>
      </c>
      <c r="S669" s="379">
        <f t="shared" si="1009"/>
        <v>0</v>
      </c>
      <c r="T669" s="379">
        <f t="shared" si="1010"/>
        <v>0</v>
      </c>
      <c r="U669" s="379">
        <f t="shared" si="1011"/>
        <v>0</v>
      </c>
      <c r="V669" s="379">
        <f t="shared" si="1012"/>
        <v>0</v>
      </c>
      <c r="W669" s="379">
        <f t="shared" si="1013"/>
        <v>0</v>
      </c>
      <c r="X669" s="379">
        <f t="shared" si="1014"/>
        <v>0</v>
      </c>
      <c r="Y669" s="379">
        <f t="shared" si="1015"/>
        <v>0</v>
      </c>
      <c r="Z669" s="379">
        <f t="shared" si="1016"/>
        <v>0</v>
      </c>
      <c r="AA669" s="379">
        <f t="shared" si="1017"/>
        <v>0</v>
      </c>
      <c r="AB669" s="379">
        <f t="shared" si="1018"/>
        <v>0</v>
      </c>
      <c r="AC669" s="379">
        <f t="shared" si="1019"/>
        <v>0</v>
      </c>
      <c r="AD669" s="379">
        <f t="shared" si="1020"/>
        <v>0</v>
      </c>
      <c r="AE669" s="379">
        <f t="shared" si="1021"/>
        <v>0</v>
      </c>
      <c r="AF669" s="379">
        <f t="shared" si="1022"/>
        <v>0</v>
      </c>
      <c r="AG669" s="379">
        <f t="shared" si="1023"/>
        <v>0</v>
      </c>
      <c r="AH669" s="379">
        <f t="shared" si="1024"/>
        <v>0</v>
      </c>
      <c r="AI669" s="379">
        <f t="shared" si="1025"/>
        <v>0</v>
      </c>
      <c r="AJ669" s="379">
        <f t="shared" si="1026"/>
        <v>0</v>
      </c>
      <c r="AK669" s="379">
        <f t="shared" si="1027"/>
        <v>0</v>
      </c>
      <c r="AL669" s="379">
        <f t="shared" si="1028"/>
        <v>0</v>
      </c>
      <c r="AM669" s="379">
        <f t="shared" si="1029"/>
        <v>0</v>
      </c>
      <c r="AN669" s="490">
        <f t="shared" si="1030"/>
        <v>0</v>
      </c>
      <c r="AO669" s="379">
        <f t="shared" si="1031"/>
        <v>0</v>
      </c>
      <c r="AP669" s="379">
        <f t="shared" si="1032"/>
        <v>0</v>
      </c>
      <c r="AQ669" s="379">
        <f t="shared" si="1033"/>
        <v>0</v>
      </c>
      <c r="AR669" s="379">
        <f t="shared" si="1034"/>
        <v>0</v>
      </c>
      <c r="AS669" s="379">
        <f t="shared" si="1035"/>
        <v>0</v>
      </c>
      <c r="AT669" s="379">
        <f t="shared" si="1036"/>
        <v>0</v>
      </c>
      <c r="AU669" s="379">
        <f t="shared" si="1037"/>
        <v>0</v>
      </c>
      <c r="AV669" s="379">
        <f t="shared" si="1038"/>
        <v>0</v>
      </c>
      <c r="AW669" s="379">
        <f t="shared" si="1039"/>
        <v>0</v>
      </c>
      <c r="AX669" s="379">
        <f t="shared" si="1040"/>
        <v>0</v>
      </c>
      <c r="AY669" s="379">
        <f t="shared" si="1041"/>
        <v>0</v>
      </c>
    </row>
    <row r="670" spans="1:51" ht="13.5" thickTop="1" x14ac:dyDescent="0.2">
      <c r="A670" s="380"/>
      <c r="B670" s="380"/>
      <c r="C670" s="380" t="s">
        <v>264</v>
      </c>
      <c r="D670" s="380"/>
      <c r="E670" s="484"/>
      <c r="F670" s="381"/>
      <c r="G670" s="382">
        <f>COUNTIF(G659:G669,"&gt;0")</f>
        <v>11</v>
      </c>
      <c r="H670" s="382">
        <f t="shared" ref="H670:AY670" si="1042">COUNTIF(H659:H669,"&gt;0")</f>
        <v>11</v>
      </c>
      <c r="I670" s="382">
        <f t="shared" si="1042"/>
        <v>11</v>
      </c>
      <c r="J670" s="382">
        <f t="shared" si="1042"/>
        <v>0</v>
      </c>
      <c r="K670" s="382">
        <f t="shared" si="1042"/>
        <v>11</v>
      </c>
      <c r="L670" s="382">
        <f t="shared" si="1042"/>
        <v>0</v>
      </c>
      <c r="M670" s="382">
        <f t="shared" si="1042"/>
        <v>11</v>
      </c>
      <c r="N670" s="382">
        <f t="shared" si="1042"/>
        <v>10</v>
      </c>
      <c r="O670" s="382">
        <f t="shared" si="1042"/>
        <v>2</v>
      </c>
      <c r="P670" s="382">
        <f t="shared" si="1042"/>
        <v>0</v>
      </c>
      <c r="Q670" s="382">
        <f t="shared" si="1042"/>
        <v>0</v>
      </c>
      <c r="R670" s="382">
        <f t="shared" si="1042"/>
        <v>0</v>
      </c>
      <c r="S670" s="382">
        <f t="shared" si="1042"/>
        <v>0</v>
      </c>
      <c r="T670" s="382">
        <f t="shared" si="1042"/>
        <v>0</v>
      </c>
      <c r="U670" s="382">
        <f t="shared" si="1042"/>
        <v>0</v>
      </c>
      <c r="V670" s="382">
        <f t="shared" si="1042"/>
        <v>0</v>
      </c>
      <c r="W670" s="382">
        <f t="shared" si="1042"/>
        <v>0</v>
      </c>
      <c r="X670" s="382">
        <f t="shared" si="1042"/>
        <v>0</v>
      </c>
      <c r="Y670" s="382">
        <f t="shared" si="1042"/>
        <v>0</v>
      </c>
      <c r="Z670" s="382">
        <f t="shared" si="1042"/>
        <v>0</v>
      </c>
      <c r="AA670" s="382">
        <f t="shared" si="1042"/>
        <v>0</v>
      </c>
      <c r="AB670" s="382">
        <f t="shared" si="1042"/>
        <v>0</v>
      </c>
      <c r="AC670" s="382">
        <f t="shared" si="1042"/>
        <v>0</v>
      </c>
      <c r="AD670" s="382">
        <f t="shared" si="1042"/>
        <v>0</v>
      </c>
      <c r="AE670" s="382">
        <f t="shared" si="1042"/>
        <v>0</v>
      </c>
      <c r="AF670" s="382">
        <f t="shared" si="1042"/>
        <v>0</v>
      </c>
      <c r="AG670" s="382">
        <f t="shared" si="1042"/>
        <v>0</v>
      </c>
      <c r="AH670" s="382">
        <f t="shared" si="1042"/>
        <v>0</v>
      </c>
      <c r="AI670" s="382">
        <f t="shared" si="1042"/>
        <v>0</v>
      </c>
      <c r="AJ670" s="382">
        <f t="shared" si="1042"/>
        <v>0</v>
      </c>
      <c r="AK670" s="382">
        <f t="shared" si="1042"/>
        <v>0</v>
      </c>
      <c r="AL670" s="382">
        <f t="shared" si="1042"/>
        <v>0</v>
      </c>
      <c r="AM670" s="382">
        <f t="shared" si="1042"/>
        <v>0</v>
      </c>
      <c r="AN670" s="485">
        <f t="shared" si="1042"/>
        <v>0</v>
      </c>
      <c r="AO670" s="382">
        <f t="shared" si="1042"/>
        <v>0</v>
      </c>
      <c r="AP670" s="382">
        <f t="shared" si="1042"/>
        <v>0</v>
      </c>
      <c r="AQ670" s="382">
        <f t="shared" si="1042"/>
        <v>0</v>
      </c>
      <c r="AR670" s="382">
        <f t="shared" si="1042"/>
        <v>0</v>
      </c>
      <c r="AS670" s="382">
        <f t="shared" si="1042"/>
        <v>0</v>
      </c>
      <c r="AT670" s="382">
        <f t="shared" si="1042"/>
        <v>0</v>
      </c>
      <c r="AU670" s="382">
        <f t="shared" si="1042"/>
        <v>0</v>
      </c>
      <c r="AV670" s="382">
        <f t="shared" si="1042"/>
        <v>0</v>
      </c>
      <c r="AW670" s="382">
        <f t="shared" si="1042"/>
        <v>0</v>
      </c>
      <c r="AX670" s="382">
        <f t="shared" si="1042"/>
        <v>0</v>
      </c>
      <c r="AY670" s="382">
        <f t="shared" si="1042"/>
        <v>0</v>
      </c>
    </row>
    <row r="671" spans="1:51" x14ac:dyDescent="0.2">
      <c r="A671" s="376"/>
      <c r="B671" s="376"/>
      <c r="C671" s="376" t="s">
        <v>265</v>
      </c>
      <c r="D671" s="376"/>
      <c r="E671" s="488"/>
      <c r="F671" s="384"/>
      <c r="G671" s="385">
        <f>SUM(G659:G669)</f>
        <v>1705489</v>
      </c>
      <c r="H671" s="385">
        <f t="shared" ref="H671:AY671" si="1043">SUM(H659:H669)</f>
        <v>676240</v>
      </c>
      <c r="I671" s="385">
        <f t="shared" si="1043"/>
        <v>4862.42</v>
      </c>
      <c r="J671" s="385">
        <f t="shared" si="1043"/>
        <v>0</v>
      </c>
      <c r="K671" s="385">
        <f t="shared" si="1043"/>
        <v>586091</v>
      </c>
      <c r="L671" s="385">
        <f t="shared" si="1043"/>
        <v>0</v>
      </c>
      <c r="M671" s="385">
        <f t="shared" si="1043"/>
        <v>567475</v>
      </c>
      <c r="N671" s="385">
        <f t="shared" si="1043"/>
        <v>305065</v>
      </c>
      <c r="O671" s="385">
        <f t="shared" si="1043"/>
        <v>25373</v>
      </c>
      <c r="P671" s="385">
        <f t="shared" si="1043"/>
        <v>0</v>
      </c>
      <c r="Q671" s="385">
        <f t="shared" si="1043"/>
        <v>0</v>
      </c>
      <c r="R671" s="385">
        <f t="shared" si="1043"/>
        <v>0</v>
      </c>
      <c r="S671" s="385">
        <f t="shared" si="1043"/>
        <v>0</v>
      </c>
      <c r="T671" s="385">
        <f t="shared" si="1043"/>
        <v>0</v>
      </c>
      <c r="U671" s="385">
        <f t="shared" si="1043"/>
        <v>0</v>
      </c>
      <c r="V671" s="385">
        <f t="shared" si="1043"/>
        <v>0</v>
      </c>
      <c r="W671" s="385">
        <f t="shared" si="1043"/>
        <v>0</v>
      </c>
      <c r="X671" s="385">
        <f t="shared" si="1043"/>
        <v>0</v>
      </c>
      <c r="Y671" s="385">
        <f t="shared" si="1043"/>
        <v>0</v>
      </c>
      <c r="Z671" s="385">
        <f t="shared" si="1043"/>
        <v>0</v>
      </c>
      <c r="AA671" s="385">
        <f t="shared" si="1043"/>
        <v>0</v>
      </c>
      <c r="AB671" s="385">
        <f t="shared" si="1043"/>
        <v>0</v>
      </c>
      <c r="AC671" s="385">
        <f t="shared" si="1043"/>
        <v>0</v>
      </c>
      <c r="AD671" s="385">
        <f t="shared" si="1043"/>
        <v>0</v>
      </c>
      <c r="AE671" s="385">
        <f t="shared" si="1043"/>
        <v>0</v>
      </c>
      <c r="AF671" s="385">
        <f t="shared" si="1043"/>
        <v>0</v>
      </c>
      <c r="AG671" s="385">
        <f t="shared" si="1043"/>
        <v>0</v>
      </c>
      <c r="AH671" s="385">
        <f t="shared" si="1043"/>
        <v>0</v>
      </c>
      <c r="AI671" s="385">
        <f t="shared" si="1043"/>
        <v>0</v>
      </c>
      <c r="AJ671" s="385">
        <f t="shared" si="1043"/>
        <v>0</v>
      </c>
      <c r="AK671" s="385">
        <f t="shared" si="1043"/>
        <v>0</v>
      </c>
      <c r="AL671" s="385">
        <f t="shared" si="1043"/>
        <v>0</v>
      </c>
      <c r="AM671" s="385">
        <f t="shared" si="1043"/>
        <v>0</v>
      </c>
      <c r="AN671" s="489">
        <f t="shared" si="1043"/>
        <v>0</v>
      </c>
      <c r="AO671" s="385">
        <f t="shared" si="1043"/>
        <v>0</v>
      </c>
      <c r="AP671" s="385">
        <f t="shared" si="1043"/>
        <v>0</v>
      </c>
      <c r="AQ671" s="385">
        <f t="shared" si="1043"/>
        <v>0</v>
      </c>
      <c r="AR671" s="385">
        <f t="shared" si="1043"/>
        <v>0</v>
      </c>
      <c r="AS671" s="385">
        <f t="shared" si="1043"/>
        <v>0</v>
      </c>
      <c r="AT671" s="385">
        <f t="shared" si="1043"/>
        <v>0</v>
      </c>
      <c r="AU671" s="385">
        <f t="shared" si="1043"/>
        <v>0</v>
      </c>
      <c r="AV671" s="385">
        <f t="shared" si="1043"/>
        <v>0</v>
      </c>
      <c r="AW671" s="385">
        <f t="shared" si="1043"/>
        <v>0</v>
      </c>
      <c r="AX671" s="385">
        <f t="shared" si="1043"/>
        <v>0</v>
      </c>
      <c r="AY671" s="385">
        <f t="shared" si="1043"/>
        <v>0</v>
      </c>
    </row>
    <row r="672" spans="1:51" x14ac:dyDescent="0.2">
      <c r="A672" s="376"/>
      <c r="B672" s="376"/>
      <c r="C672" s="376" t="s">
        <v>266</v>
      </c>
      <c r="D672" s="376"/>
      <c r="E672" s="488"/>
      <c r="F672" s="384"/>
      <c r="G672" s="379">
        <f t="shared" ref="G672:AY672" si="1044">MIN(G659:G669)</f>
        <v>36505</v>
      </c>
      <c r="H672" s="379">
        <f t="shared" si="1044"/>
        <v>14224</v>
      </c>
      <c r="I672" s="379">
        <f t="shared" si="1044"/>
        <v>367</v>
      </c>
      <c r="J672" s="379">
        <f t="shared" si="1044"/>
        <v>0</v>
      </c>
      <c r="K672" s="379">
        <f t="shared" si="1044"/>
        <v>14224</v>
      </c>
      <c r="L672" s="379">
        <f t="shared" si="1044"/>
        <v>0</v>
      </c>
      <c r="M672" s="379">
        <f t="shared" si="1044"/>
        <v>14224</v>
      </c>
      <c r="N672" s="379">
        <f t="shared" si="1044"/>
        <v>0</v>
      </c>
      <c r="O672" s="379">
        <f t="shared" si="1044"/>
        <v>0</v>
      </c>
      <c r="P672" s="379">
        <f t="shared" si="1044"/>
        <v>0</v>
      </c>
      <c r="Q672" s="379">
        <f t="shared" si="1044"/>
        <v>0</v>
      </c>
      <c r="R672" s="379">
        <f t="shared" si="1044"/>
        <v>0</v>
      </c>
      <c r="S672" s="379">
        <f t="shared" si="1044"/>
        <v>0</v>
      </c>
      <c r="T672" s="379">
        <f t="shared" si="1044"/>
        <v>0</v>
      </c>
      <c r="U672" s="379">
        <f t="shared" si="1044"/>
        <v>0</v>
      </c>
      <c r="V672" s="379">
        <f t="shared" si="1044"/>
        <v>0</v>
      </c>
      <c r="W672" s="379">
        <f t="shared" si="1044"/>
        <v>0</v>
      </c>
      <c r="X672" s="379">
        <f t="shared" si="1044"/>
        <v>0</v>
      </c>
      <c r="Y672" s="379">
        <f t="shared" si="1044"/>
        <v>0</v>
      </c>
      <c r="Z672" s="379">
        <f t="shared" si="1044"/>
        <v>0</v>
      </c>
      <c r="AA672" s="379">
        <f t="shared" si="1044"/>
        <v>0</v>
      </c>
      <c r="AB672" s="379">
        <f t="shared" si="1044"/>
        <v>0</v>
      </c>
      <c r="AC672" s="379">
        <f t="shared" si="1044"/>
        <v>0</v>
      </c>
      <c r="AD672" s="379">
        <f t="shared" si="1044"/>
        <v>0</v>
      </c>
      <c r="AE672" s="379">
        <f t="shared" si="1044"/>
        <v>0</v>
      </c>
      <c r="AF672" s="379">
        <f t="shared" si="1044"/>
        <v>0</v>
      </c>
      <c r="AG672" s="379">
        <f t="shared" si="1044"/>
        <v>0</v>
      </c>
      <c r="AH672" s="379">
        <f t="shared" si="1044"/>
        <v>0</v>
      </c>
      <c r="AI672" s="379">
        <f t="shared" si="1044"/>
        <v>0</v>
      </c>
      <c r="AJ672" s="379">
        <f t="shared" si="1044"/>
        <v>0</v>
      </c>
      <c r="AK672" s="379">
        <f t="shared" si="1044"/>
        <v>0</v>
      </c>
      <c r="AL672" s="379">
        <f t="shared" si="1044"/>
        <v>0</v>
      </c>
      <c r="AM672" s="379">
        <f t="shared" si="1044"/>
        <v>0</v>
      </c>
      <c r="AN672" s="490">
        <f t="shared" si="1044"/>
        <v>0</v>
      </c>
      <c r="AO672" s="379">
        <f t="shared" si="1044"/>
        <v>0</v>
      </c>
      <c r="AP672" s="379">
        <f t="shared" si="1044"/>
        <v>0</v>
      </c>
      <c r="AQ672" s="379">
        <f t="shared" si="1044"/>
        <v>0</v>
      </c>
      <c r="AR672" s="379">
        <f t="shared" si="1044"/>
        <v>0</v>
      </c>
      <c r="AS672" s="379">
        <f t="shared" si="1044"/>
        <v>0</v>
      </c>
      <c r="AT672" s="379">
        <f t="shared" si="1044"/>
        <v>0</v>
      </c>
      <c r="AU672" s="379">
        <f t="shared" si="1044"/>
        <v>0</v>
      </c>
      <c r="AV672" s="379">
        <f t="shared" si="1044"/>
        <v>0</v>
      </c>
      <c r="AW672" s="379">
        <f t="shared" si="1044"/>
        <v>0</v>
      </c>
      <c r="AX672" s="379">
        <f t="shared" si="1044"/>
        <v>0</v>
      </c>
      <c r="AY672" s="379">
        <f t="shared" si="1044"/>
        <v>0</v>
      </c>
    </row>
    <row r="673" spans="1:51" x14ac:dyDescent="0.2">
      <c r="A673" s="376"/>
      <c r="B673" s="376"/>
      <c r="C673" s="376" t="s">
        <v>267</v>
      </c>
      <c r="D673" s="376"/>
      <c r="E673" s="488"/>
      <c r="F673" s="384"/>
      <c r="G673" s="379">
        <f t="shared" ref="G673:AY673" si="1045">MAX(G659:G669)</f>
        <v>359671</v>
      </c>
      <c r="H673" s="379">
        <f t="shared" si="1045"/>
        <v>118454</v>
      </c>
      <c r="I673" s="379">
        <f t="shared" si="1045"/>
        <v>543</v>
      </c>
      <c r="J673" s="379">
        <f t="shared" si="1045"/>
        <v>0</v>
      </c>
      <c r="K673" s="379">
        <f t="shared" si="1045"/>
        <v>106471</v>
      </c>
      <c r="L673" s="379">
        <f t="shared" si="1045"/>
        <v>0</v>
      </c>
      <c r="M673" s="379">
        <f t="shared" si="1045"/>
        <v>106471</v>
      </c>
      <c r="N673" s="379">
        <f t="shared" si="1045"/>
        <v>85288</v>
      </c>
      <c r="O673" s="379">
        <f t="shared" si="1045"/>
        <v>24755</v>
      </c>
      <c r="P673" s="379">
        <f t="shared" si="1045"/>
        <v>0</v>
      </c>
      <c r="Q673" s="379">
        <f t="shared" si="1045"/>
        <v>0</v>
      </c>
      <c r="R673" s="379">
        <f t="shared" si="1045"/>
        <v>0</v>
      </c>
      <c r="S673" s="379">
        <f t="shared" si="1045"/>
        <v>0</v>
      </c>
      <c r="T673" s="379">
        <f t="shared" si="1045"/>
        <v>0</v>
      </c>
      <c r="U673" s="379">
        <f t="shared" si="1045"/>
        <v>0</v>
      </c>
      <c r="V673" s="379">
        <f t="shared" si="1045"/>
        <v>0</v>
      </c>
      <c r="W673" s="379">
        <f t="shared" si="1045"/>
        <v>0</v>
      </c>
      <c r="X673" s="379">
        <f t="shared" si="1045"/>
        <v>0</v>
      </c>
      <c r="Y673" s="379">
        <f t="shared" si="1045"/>
        <v>0</v>
      </c>
      <c r="Z673" s="379">
        <f t="shared" si="1045"/>
        <v>0</v>
      </c>
      <c r="AA673" s="379">
        <f t="shared" si="1045"/>
        <v>0</v>
      </c>
      <c r="AB673" s="379">
        <f t="shared" si="1045"/>
        <v>0</v>
      </c>
      <c r="AC673" s="379">
        <f t="shared" si="1045"/>
        <v>0</v>
      </c>
      <c r="AD673" s="379">
        <f t="shared" si="1045"/>
        <v>0</v>
      </c>
      <c r="AE673" s="379">
        <f t="shared" si="1045"/>
        <v>0</v>
      </c>
      <c r="AF673" s="379">
        <f t="shared" si="1045"/>
        <v>0</v>
      </c>
      <c r="AG673" s="379">
        <f t="shared" si="1045"/>
        <v>0</v>
      </c>
      <c r="AH673" s="379">
        <f t="shared" si="1045"/>
        <v>0</v>
      </c>
      <c r="AI673" s="379">
        <f t="shared" si="1045"/>
        <v>0</v>
      </c>
      <c r="AJ673" s="379">
        <f t="shared" si="1045"/>
        <v>0</v>
      </c>
      <c r="AK673" s="379">
        <f t="shared" si="1045"/>
        <v>0</v>
      </c>
      <c r="AL673" s="379">
        <f t="shared" si="1045"/>
        <v>0</v>
      </c>
      <c r="AM673" s="379">
        <f t="shared" si="1045"/>
        <v>0</v>
      </c>
      <c r="AN673" s="490">
        <f t="shared" si="1045"/>
        <v>0</v>
      </c>
      <c r="AO673" s="379">
        <f t="shared" si="1045"/>
        <v>0</v>
      </c>
      <c r="AP673" s="379">
        <f t="shared" si="1045"/>
        <v>0</v>
      </c>
      <c r="AQ673" s="379">
        <f t="shared" si="1045"/>
        <v>0</v>
      </c>
      <c r="AR673" s="379">
        <f t="shared" si="1045"/>
        <v>0</v>
      </c>
      <c r="AS673" s="379">
        <f t="shared" si="1045"/>
        <v>0</v>
      </c>
      <c r="AT673" s="379">
        <f t="shared" si="1045"/>
        <v>0</v>
      </c>
      <c r="AU673" s="379">
        <f t="shared" si="1045"/>
        <v>0</v>
      </c>
      <c r="AV673" s="379">
        <f t="shared" si="1045"/>
        <v>0</v>
      </c>
      <c r="AW673" s="379">
        <f t="shared" si="1045"/>
        <v>0</v>
      </c>
      <c r="AX673" s="379">
        <f t="shared" si="1045"/>
        <v>0</v>
      </c>
      <c r="AY673" s="379">
        <f t="shared" si="1045"/>
        <v>0</v>
      </c>
    </row>
    <row r="674" spans="1:51" x14ac:dyDescent="0.2">
      <c r="A674" s="376"/>
      <c r="B674" s="376"/>
      <c r="C674" s="376" t="s">
        <v>268</v>
      </c>
      <c r="D674" s="376"/>
      <c r="E674" s="488"/>
      <c r="F674" s="384"/>
      <c r="G674" s="379">
        <f t="shared" ref="G674:AY674" si="1046">AVERAGE(G658:G669)</f>
        <v>155044.45454545456</v>
      </c>
      <c r="H674" s="379">
        <f t="shared" si="1046"/>
        <v>61476.36363636364</v>
      </c>
      <c r="I674" s="379">
        <f t="shared" si="1046"/>
        <v>442.03818181818184</v>
      </c>
      <c r="J674" s="379" t="e">
        <f t="shared" si="1046"/>
        <v>#DIV/0!</v>
      </c>
      <c r="K674" s="379">
        <f t="shared" si="1046"/>
        <v>53281</v>
      </c>
      <c r="L674" s="379">
        <f t="shared" si="1046"/>
        <v>0</v>
      </c>
      <c r="M674" s="379">
        <f t="shared" si="1046"/>
        <v>51588.63636363636</v>
      </c>
      <c r="N674" s="379">
        <f t="shared" si="1046"/>
        <v>27733.18181818182</v>
      </c>
      <c r="O674" s="379">
        <f t="shared" si="1046"/>
        <v>2306.6363636363635</v>
      </c>
      <c r="P674" s="379" t="e">
        <f t="shared" si="1046"/>
        <v>#DIV/0!</v>
      </c>
      <c r="Q674" s="379">
        <f t="shared" si="1046"/>
        <v>0</v>
      </c>
      <c r="R674" s="379">
        <f t="shared" si="1046"/>
        <v>0</v>
      </c>
      <c r="S674" s="379">
        <f t="shared" si="1046"/>
        <v>0</v>
      </c>
      <c r="T674" s="379">
        <f t="shared" si="1046"/>
        <v>0</v>
      </c>
      <c r="U674" s="379">
        <f t="shared" si="1046"/>
        <v>0</v>
      </c>
      <c r="V674" s="379">
        <f t="shared" si="1046"/>
        <v>0</v>
      </c>
      <c r="W674" s="379">
        <f t="shared" si="1046"/>
        <v>0</v>
      </c>
      <c r="X674" s="379">
        <f t="shared" si="1046"/>
        <v>0</v>
      </c>
      <c r="Y674" s="379">
        <f t="shared" si="1046"/>
        <v>0</v>
      </c>
      <c r="Z674" s="379">
        <f t="shared" si="1046"/>
        <v>0</v>
      </c>
      <c r="AA674" s="379">
        <f t="shared" si="1046"/>
        <v>0</v>
      </c>
      <c r="AB674" s="379">
        <f t="shared" si="1046"/>
        <v>0</v>
      </c>
      <c r="AC674" s="379">
        <f t="shared" si="1046"/>
        <v>0</v>
      </c>
      <c r="AD674" s="379">
        <f t="shared" si="1046"/>
        <v>0</v>
      </c>
      <c r="AE674" s="379">
        <f t="shared" si="1046"/>
        <v>0</v>
      </c>
      <c r="AF674" s="379">
        <f t="shared" si="1046"/>
        <v>0</v>
      </c>
      <c r="AG674" s="379">
        <f t="shared" si="1046"/>
        <v>0</v>
      </c>
      <c r="AH674" s="379">
        <f t="shared" si="1046"/>
        <v>0</v>
      </c>
      <c r="AI674" s="379">
        <f t="shared" si="1046"/>
        <v>0</v>
      </c>
      <c r="AJ674" s="379">
        <f t="shared" si="1046"/>
        <v>0</v>
      </c>
      <c r="AK674" s="379">
        <f t="shared" si="1046"/>
        <v>0</v>
      </c>
      <c r="AL674" s="379">
        <f t="shared" si="1046"/>
        <v>0</v>
      </c>
      <c r="AM674" s="379">
        <f t="shared" si="1046"/>
        <v>0</v>
      </c>
      <c r="AN674" s="490">
        <f t="shared" si="1046"/>
        <v>0</v>
      </c>
      <c r="AO674" s="379">
        <f t="shared" si="1046"/>
        <v>0</v>
      </c>
      <c r="AP674" s="379">
        <f t="shared" si="1046"/>
        <v>0</v>
      </c>
      <c r="AQ674" s="379">
        <f t="shared" si="1046"/>
        <v>0</v>
      </c>
      <c r="AR674" s="379">
        <f t="shared" si="1046"/>
        <v>0</v>
      </c>
      <c r="AS674" s="379">
        <f t="shared" si="1046"/>
        <v>0</v>
      </c>
      <c r="AT674" s="379">
        <f t="shared" si="1046"/>
        <v>0</v>
      </c>
      <c r="AU674" s="379">
        <f t="shared" si="1046"/>
        <v>0</v>
      </c>
      <c r="AV674" s="379">
        <f t="shared" si="1046"/>
        <v>0</v>
      </c>
      <c r="AW674" s="379">
        <f t="shared" si="1046"/>
        <v>0</v>
      </c>
      <c r="AX674" s="379">
        <f t="shared" si="1046"/>
        <v>0</v>
      </c>
      <c r="AY674" s="379">
        <f t="shared" si="1046"/>
        <v>0</v>
      </c>
    </row>
    <row r="675" spans="1:51" ht="13.5" thickBot="1" x14ac:dyDescent="0.25">
      <c r="A675" s="386"/>
      <c r="B675" s="386"/>
      <c r="C675" s="386" t="s">
        <v>269</v>
      </c>
      <c r="D675" s="386"/>
      <c r="E675" s="491"/>
      <c r="F675" s="384"/>
      <c r="G675" s="388">
        <f t="shared" ref="G675:AY675" si="1047">MEDIAN(G659:G669)</f>
        <v>149489</v>
      </c>
      <c r="H675" s="388">
        <f t="shared" si="1047"/>
        <v>57679</v>
      </c>
      <c r="I675" s="388">
        <f t="shared" si="1047"/>
        <v>450</v>
      </c>
      <c r="J675" s="388" t="e">
        <f t="shared" si="1047"/>
        <v>#NUM!</v>
      </c>
      <c r="K675" s="388">
        <f t="shared" si="1047"/>
        <v>42095</v>
      </c>
      <c r="L675" s="388">
        <f t="shared" si="1047"/>
        <v>0</v>
      </c>
      <c r="M675" s="388">
        <f t="shared" si="1047"/>
        <v>41710</v>
      </c>
      <c r="N675" s="388">
        <f t="shared" si="1047"/>
        <v>18849</v>
      </c>
      <c r="O675" s="388">
        <f t="shared" si="1047"/>
        <v>0</v>
      </c>
      <c r="P675" s="388" t="e">
        <f t="shared" si="1047"/>
        <v>#NUM!</v>
      </c>
      <c r="Q675" s="388">
        <f t="shared" si="1047"/>
        <v>0</v>
      </c>
      <c r="R675" s="388">
        <f t="shared" si="1047"/>
        <v>0</v>
      </c>
      <c r="S675" s="388">
        <f t="shared" si="1047"/>
        <v>0</v>
      </c>
      <c r="T675" s="388">
        <f t="shared" si="1047"/>
        <v>0</v>
      </c>
      <c r="U675" s="388">
        <f t="shared" si="1047"/>
        <v>0</v>
      </c>
      <c r="V675" s="388">
        <f t="shared" si="1047"/>
        <v>0</v>
      </c>
      <c r="W675" s="388">
        <f t="shared" si="1047"/>
        <v>0</v>
      </c>
      <c r="X675" s="388">
        <f t="shared" si="1047"/>
        <v>0</v>
      </c>
      <c r="Y675" s="388">
        <f t="shared" si="1047"/>
        <v>0</v>
      </c>
      <c r="Z675" s="388">
        <f t="shared" si="1047"/>
        <v>0</v>
      </c>
      <c r="AA675" s="388">
        <f t="shared" si="1047"/>
        <v>0</v>
      </c>
      <c r="AB675" s="388">
        <f t="shared" si="1047"/>
        <v>0</v>
      </c>
      <c r="AC675" s="388">
        <f t="shared" si="1047"/>
        <v>0</v>
      </c>
      <c r="AD675" s="388">
        <f t="shared" si="1047"/>
        <v>0</v>
      </c>
      <c r="AE675" s="388">
        <f t="shared" si="1047"/>
        <v>0</v>
      </c>
      <c r="AF675" s="388">
        <f t="shared" si="1047"/>
        <v>0</v>
      </c>
      <c r="AG675" s="388">
        <f t="shared" si="1047"/>
        <v>0</v>
      </c>
      <c r="AH675" s="388">
        <f t="shared" si="1047"/>
        <v>0</v>
      </c>
      <c r="AI675" s="388">
        <f t="shared" si="1047"/>
        <v>0</v>
      </c>
      <c r="AJ675" s="388">
        <f t="shared" si="1047"/>
        <v>0</v>
      </c>
      <c r="AK675" s="388">
        <f t="shared" si="1047"/>
        <v>0</v>
      </c>
      <c r="AL675" s="388">
        <f t="shared" si="1047"/>
        <v>0</v>
      </c>
      <c r="AM675" s="388">
        <f t="shared" si="1047"/>
        <v>0</v>
      </c>
      <c r="AN675" s="492">
        <f t="shared" si="1047"/>
        <v>0</v>
      </c>
      <c r="AO675" s="388">
        <f t="shared" si="1047"/>
        <v>0</v>
      </c>
      <c r="AP675" s="388">
        <f t="shared" si="1047"/>
        <v>0</v>
      </c>
      <c r="AQ675" s="388">
        <f t="shared" si="1047"/>
        <v>0</v>
      </c>
      <c r="AR675" s="388">
        <f t="shared" si="1047"/>
        <v>0</v>
      </c>
      <c r="AS675" s="388">
        <f t="shared" si="1047"/>
        <v>0</v>
      </c>
      <c r="AT675" s="388">
        <f t="shared" si="1047"/>
        <v>0</v>
      </c>
      <c r="AU675" s="388">
        <f t="shared" si="1047"/>
        <v>0</v>
      </c>
      <c r="AV675" s="388">
        <f t="shared" si="1047"/>
        <v>0</v>
      </c>
      <c r="AW675" s="388">
        <f t="shared" si="1047"/>
        <v>0</v>
      </c>
      <c r="AX675" s="388">
        <f t="shared" si="1047"/>
        <v>0</v>
      </c>
      <c r="AY675" s="388">
        <f t="shared" si="1047"/>
        <v>0</v>
      </c>
    </row>
    <row r="676" spans="1:51" ht="13.5" thickTop="1" x14ac:dyDescent="0.2">
      <c r="B676"/>
      <c r="C676" s="278"/>
      <c r="D676" s="278"/>
      <c r="E676" s="507"/>
    </row>
    <row r="677" spans="1:51" ht="13.5" thickBot="1" x14ac:dyDescent="0.25">
      <c r="A677" s="400"/>
      <c r="B677" s="400"/>
      <c r="C677" s="402" t="s">
        <v>291</v>
      </c>
      <c r="D677" s="402">
        <v>5</v>
      </c>
      <c r="E677" s="503"/>
    </row>
    <row r="678" spans="1:51" ht="13.5" thickTop="1" x14ac:dyDescent="0.2">
      <c r="A678" s="376">
        <v>14400</v>
      </c>
      <c r="B678" s="378" t="str">
        <f>VLOOKUP($A678,$A$5:$L$133,2,FALSE)</f>
        <v>Kiama (A)</v>
      </c>
      <c r="C678" s="377" t="str">
        <f>VLOOKUP($A678,$A$5:$L$133,3,FALSE)</f>
        <v>ISJO</v>
      </c>
      <c r="D678" s="503" t="str">
        <f>VLOOKUP($A678,$A$5:$L$133,4,FALSE)</f>
        <v>E</v>
      </c>
      <c r="E678" s="503"/>
      <c r="F678"/>
      <c r="G678" s="379">
        <f>VLOOKUP($A678,$A$5:$AY$132,7,FALSE)</f>
        <v>21671</v>
      </c>
      <c r="H678" s="379">
        <f>VLOOKUP($A678,$A$5:$AY$132,8,FALSE)</f>
        <v>10000</v>
      </c>
      <c r="I678" s="379">
        <f>VLOOKUP($A678,$A$5:$AY$132,9,FALSE)</f>
        <v>528.6</v>
      </c>
      <c r="J678" s="379" t="str">
        <f>VLOOKUP($A678,$A$5:$AY$132,10,FALSE)</f>
        <v>Y</v>
      </c>
      <c r="K678" s="379">
        <f>VLOOKUP($A678,$A$5:$AY$132,11,FALSE)</f>
        <v>8874</v>
      </c>
      <c r="L678" s="379">
        <f>VLOOKUP($A678,$A$5:$AY$132,12,FALSE)</f>
        <v>0</v>
      </c>
      <c r="M678" s="379">
        <f>VLOOKUP($A678,$A$4:$AY$132,13,FALSE)</f>
        <v>9377</v>
      </c>
      <c r="N678" s="379">
        <f>VLOOKUP($A678,$A$4:$AY$132,14,FALSE)</f>
        <v>0</v>
      </c>
      <c r="O678" s="379">
        <f>VLOOKUP($A678,$A$4:$AY$132,15,FALSE)</f>
        <v>8874</v>
      </c>
      <c r="P678" s="379" t="str">
        <f>VLOOKUP($A678,$A$4:$AY$132,16,FALSE)</f>
        <v>Y</v>
      </c>
      <c r="Q678" s="379" t="str">
        <f>VLOOKUP($A678,$A$4:$AY$132,17,FALSE)</f>
        <v>Y</v>
      </c>
      <c r="R678" s="379" t="str">
        <f>VLOOKUP($A678,$A$4:$AY$132,18,FALSE)</f>
        <v>Minnamurra CRC</v>
      </c>
      <c r="S678" s="379" t="str">
        <f>VLOOKUP($A678,$A$4:$AY$132,19,FALSE)</f>
        <v>Minnamurra Waste Depot</v>
      </c>
      <c r="T678" s="379">
        <f>VLOOKUP($A678,$A$4:$AY$132,20,FALSE)</f>
        <v>0</v>
      </c>
      <c r="U678" s="379">
        <f>VLOOKUP($A678,$A$4:$AY$132,21,FALSE)</f>
        <v>0</v>
      </c>
      <c r="V678" s="379">
        <f>VLOOKUP($A678,$A$4:$AY$132,22,FALSE)</f>
        <v>0</v>
      </c>
      <c r="W678" s="379">
        <f>VLOOKUP($A678,$A$4:$AY$132,23,FALSE)</f>
        <v>0</v>
      </c>
      <c r="X678" s="379">
        <f>VLOOKUP($A678,$A$4:$AY$132,24,FALSE)</f>
        <v>0</v>
      </c>
      <c r="Y678" s="379">
        <f>VLOOKUP($A678,$A$4:$AY$132,25,FALSE)</f>
        <v>0</v>
      </c>
      <c r="Z678" s="379">
        <f>VLOOKUP($A678,$A$4:$AY$132,26,FALSE)</f>
        <v>0</v>
      </c>
      <c r="AA678" s="379">
        <f>VLOOKUP($A678,$A$4:$AY$132,27,FALSE)</f>
        <v>0</v>
      </c>
      <c r="AB678" s="379">
        <f>VLOOKUP($A678,$A$4:$AY$132,28,FALSE)</f>
        <v>0</v>
      </c>
      <c r="AC678" s="379">
        <f>VLOOKUP($A678,$A$4:$AY$132,29,FALSE)</f>
        <v>0</v>
      </c>
      <c r="AD678" s="379">
        <f>VLOOKUP($A678,$A$4:$AY$132,30,FALSE)</f>
        <v>0</v>
      </c>
      <c r="AE678" s="379">
        <f>VLOOKUP($A678,$A$4:$AY$132,31,FALSE)</f>
        <v>0</v>
      </c>
      <c r="AF678" s="379">
        <f>VLOOKUP($A678,$A$4:$AY$132,32,FALSE)</f>
        <v>0</v>
      </c>
      <c r="AG678" s="379">
        <f>VLOOKUP($A678,$A$4:$AY$132,33,FALSE)</f>
        <v>0</v>
      </c>
      <c r="AH678" s="379">
        <f>VLOOKUP($A678,$A$4:$AY$132,34,FALSE)</f>
        <v>0</v>
      </c>
      <c r="AI678" s="379">
        <f>VLOOKUP($A678,$A$4:$AY$132,35,FALSE)</f>
        <v>0</v>
      </c>
      <c r="AJ678" s="379">
        <f>VLOOKUP($A678,$A$4:$AY$132,36,FALSE)</f>
        <v>0</v>
      </c>
      <c r="AK678" s="379">
        <f>VLOOKUP($A678,$A$4:$AY$132,37,FALSE)</f>
        <v>0</v>
      </c>
      <c r="AL678" s="379">
        <f>VLOOKUP($A678,$A$4:$AY$132,38,FALSE)</f>
        <v>0</v>
      </c>
      <c r="AM678" s="379">
        <f>VLOOKUP($A678,$A$4:$AY$132,39,FALSE)</f>
        <v>0</v>
      </c>
      <c r="AN678" s="490">
        <f>VLOOKUP($A678,$A$4:$AY$132,40,FALSE)</f>
        <v>0</v>
      </c>
      <c r="AO678" s="379">
        <f>VLOOKUP($A678,$A$4:$AY$132,41,FALSE)</f>
        <v>0</v>
      </c>
      <c r="AP678" s="379">
        <f>VLOOKUP($A678,$A$4:$AY$132,42,FALSE)</f>
        <v>0</v>
      </c>
      <c r="AQ678" s="379">
        <f>VLOOKUP($A678,$A$4:$AY$132,43,FALSE)</f>
        <v>0</v>
      </c>
      <c r="AR678" s="379">
        <f>VLOOKUP($A678,$A$4:$AY$132,44,FALSE)</f>
        <v>0</v>
      </c>
      <c r="AS678" s="379">
        <f>VLOOKUP($A678,$A$4:$AY$132,45,FALSE)</f>
        <v>0</v>
      </c>
      <c r="AT678" s="379">
        <f>VLOOKUP($A678,$A$4:$AY$132,46,FALSE)</f>
        <v>0</v>
      </c>
      <c r="AU678" s="379">
        <f>VLOOKUP($A678,$A$4:$AY$132,47,FALSE)</f>
        <v>0</v>
      </c>
      <c r="AV678" s="379">
        <f>VLOOKUP($A678,$A$4:$AY$132,48,FALSE)</f>
        <v>0</v>
      </c>
      <c r="AW678" s="379">
        <f>VLOOKUP($A678,$A$4:$AY$132,49,FALSE)</f>
        <v>0</v>
      </c>
      <c r="AX678" s="379">
        <f>VLOOKUP($A678,$A$4:$AY$132,50,FALSE)</f>
        <v>0</v>
      </c>
      <c r="AY678" s="379">
        <f>VLOOKUP($A678,$A$4:$AY$132,51,FALSE)</f>
        <v>0</v>
      </c>
    </row>
    <row r="679" spans="1:51" x14ac:dyDescent="0.2">
      <c r="A679" s="376">
        <v>16900</v>
      </c>
      <c r="B679" s="378" t="str">
        <f>VLOOKUP($A679,$A$5:$L$133,2,FALSE)</f>
        <v>Shellharbour (C)</v>
      </c>
      <c r="C679" s="377" t="str">
        <f>VLOOKUP($A679,$A$5:$L$133,3,FALSE)</f>
        <v>ISJO</v>
      </c>
      <c r="D679" s="503" t="str">
        <f>VLOOKUP($A679,$A$5:$L$133,4,FALSE)</f>
        <v>E</v>
      </c>
      <c r="E679" s="503"/>
      <c r="F679"/>
      <c r="G679" s="379">
        <f>VLOOKUP($A679,$A$5:$AY$132,7,FALSE)</f>
        <v>70734</v>
      </c>
      <c r="H679" s="379">
        <f>VLOOKUP($A679,$A$5:$AY$132,8,FALSE)</f>
        <v>26863</v>
      </c>
      <c r="I679" s="379">
        <f>VLOOKUP($A679,$A$5:$AY$132,9,FALSE)</f>
        <v>535</v>
      </c>
      <c r="J679" s="379" t="str">
        <f>VLOOKUP($A679,$A$5:$AY$132,10,FALSE)</f>
        <v>Y</v>
      </c>
      <c r="K679" s="379">
        <f>VLOOKUP($A679,$A$5:$AY$132,11,FALSE)</f>
        <v>25887</v>
      </c>
      <c r="L679" s="379">
        <f>VLOOKUP($A679,$A$5:$AY$132,12,FALSE)</f>
        <v>0</v>
      </c>
      <c r="M679" s="379">
        <f>VLOOKUP($A679,$A$4:$AY$132,13,FALSE)</f>
        <v>25826</v>
      </c>
      <c r="N679" s="379">
        <f>VLOOKUP($A679,$A$4:$AY$132,14,FALSE)</f>
        <v>0</v>
      </c>
      <c r="O679" s="379">
        <f>VLOOKUP($A679,$A$4:$AY$132,15,FALSE)</f>
        <v>24327</v>
      </c>
      <c r="P679" s="379" t="str">
        <f>VLOOKUP($A679,$A$4:$AY$132,16,FALSE)</f>
        <v>Y</v>
      </c>
      <c r="Q679" s="379" t="str">
        <f>VLOOKUP($A679,$A$4:$AY$132,17,FALSE)</f>
        <v>Y</v>
      </c>
      <c r="R679" s="379" t="str">
        <f>VLOOKUP($A679,$A$4:$AY$132,18,FALSE)</f>
        <v>Dunmore Recycling &amp; Waste Disposal Depot</v>
      </c>
      <c r="S679" s="379">
        <f>VLOOKUP($A679,$A$4:$AY$132,19,FALSE)</f>
        <v>0</v>
      </c>
      <c r="T679" s="379">
        <f>VLOOKUP($A679,$A$4:$AY$132,20,FALSE)</f>
        <v>0</v>
      </c>
      <c r="U679" s="379">
        <f>VLOOKUP($A679,$A$4:$AY$132,21,FALSE)</f>
        <v>0</v>
      </c>
      <c r="V679" s="379">
        <f>VLOOKUP($A679,$A$4:$AY$132,22,FALSE)</f>
        <v>0</v>
      </c>
      <c r="W679" s="379">
        <f>VLOOKUP($A679,$A$4:$AY$132,23,FALSE)</f>
        <v>0</v>
      </c>
      <c r="X679" s="379">
        <f>VLOOKUP($A679,$A$4:$AY$132,24,FALSE)</f>
        <v>0</v>
      </c>
      <c r="Y679" s="379">
        <f>VLOOKUP($A679,$A$4:$AY$132,25,FALSE)</f>
        <v>0</v>
      </c>
      <c r="Z679" s="379">
        <f>VLOOKUP($A679,$A$4:$AY$132,26,FALSE)</f>
        <v>0</v>
      </c>
      <c r="AA679" s="379">
        <f>VLOOKUP($A679,$A$4:$AY$132,27,FALSE)</f>
        <v>0</v>
      </c>
      <c r="AB679" s="379">
        <f>VLOOKUP($A679,$A$4:$AY$132,28,FALSE)</f>
        <v>0</v>
      </c>
      <c r="AC679" s="379">
        <f>VLOOKUP($A679,$A$4:$AY$132,29,FALSE)</f>
        <v>0</v>
      </c>
      <c r="AD679" s="379">
        <f>VLOOKUP($A679,$A$4:$AY$132,30,FALSE)</f>
        <v>0</v>
      </c>
      <c r="AE679" s="379">
        <f>VLOOKUP($A679,$A$4:$AY$132,31,FALSE)</f>
        <v>0</v>
      </c>
      <c r="AF679" s="379">
        <f>VLOOKUP($A679,$A$4:$AY$132,32,FALSE)</f>
        <v>0</v>
      </c>
      <c r="AG679" s="379">
        <f>VLOOKUP($A679,$A$4:$AY$132,33,FALSE)</f>
        <v>0</v>
      </c>
      <c r="AH679" s="379">
        <f>VLOOKUP($A679,$A$4:$AY$132,34,FALSE)</f>
        <v>0</v>
      </c>
      <c r="AI679" s="379">
        <f>VLOOKUP($A679,$A$4:$AY$132,35,FALSE)</f>
        <v>0</v>
      </c>
      <c r="AJ679" s="379">
        <f>VLOOKUP($A679,$A$4:$AY$132,36,FALSE)</f>
        <v>0</v>
      </c>
      <c r="AK679" s="379">
        <f>VLOOKUP($A679,$A$4:$AY$132,37,FALSE)</f>
        <v>0</v>
      </c>
      <c r="AL679" s="379">
        <f>VLOOKUP($A679,$A$4:$AY$132,38,FALSE)</f>
        <v>0</v>
      </c>
      <c r="AM679" s="379">
        <f>VLOOKUP($A679,$A$4:$AY$132,39,FALSE)</f>
        <v>0</v>
      </c>
      <c r="AN679" s="490">
        <f>VLOOKUP($A679,$A$4:$AY$132,40,FALSE)</f>
        <v>0</v>
      </c>
      <c r="AO679" s="379">
        <f>VLOOKUP($A679,$A$4:$AY$132,41,FALSE)</f>
        <v>0</v>
      </c>
      <c r="AP679" s="379">
        <f>VLOOKUP($A679,$A$4:$AY$132,42,FALSE)</f>
        <v>0</v>
      </c>
      <c r="AQ679" s="379">
        <f>VLOOKUP($A679,$A$4:$AY$132,43,FALSE)</f>
        <v>0</v>
      </c>
      <c r="AR679" s="379">
        <f>VLOOKUP($A679,$A$4:$AY$132,44,FALSE)</f>
        <v>0</v>
      </c>
      <c r="AS679" s="379">
        <f>VLOOKUP($A679,$A$4:$AY$132,45,FALSE)</f>
        <v>0</v>
      </c>
      <c r="AT679" s="379">
        <f>VLOOKUP($A679,$A$4:$AY$132,46,FALSE)</f>
        <v>0</v>
      </c>
      <c r="AU679" s="379">
        <f>VLOOKUP($A679,$A$4:$AY$132,47,FALSE)</f>
        <v>0</v>
      </c>
      <c r="AV679" s="379">
        <f>VLOOKUP($A679,$A$4:$AY$132,48,FALSE)</f>
        <v>0</v>
      </c>
      <c r="AW679" s="379">
        <f>VLOOKUP($A679,$A$4:$AY$132,49,FALSE)</f>
        <v>0</v>
      </c>
      <c r="AX679" s="379">
        <f>VLOOKUP($A679,$A$4:$AY$132,50,FALSE)</f>
        <v>0</v>
      </c>
      <c r="AY679" s="379">
        <f>VLOOKUP($A679,$A$4:$AY$132,51,FALSE)</f>
        <v>0</v>
      </c>
    </row>
    <row r="680" spans="1:51" x14ac:dyDescent="0.2">
      <c r="A680" s="376">
        <v>16950</v>
      </c>
      <c r="B680" s="378" t="str">
        <f>VLOOKUP($A680,$A$5:$L$133,2,FALSE)</f>
        <v>Shoalhaven (C)</v>
      </c>
      <c r="C680" s="377" t="str">
        <f>VLOOKUP($A680,$A$5:$L$133,3,FALSE)</f>
        <v>ISJO</v>
      </c>
      <c r="D680" s="503" t="str">
        <f>VLOOKUP($A680,$A$5:$L$133,4,FALSE)</f>
        <v>E</v>
      </c>
      <c r="E680" s="503"/>
      <c r="F680"/>
      <c r="G680" s="379">
        <f>VLOOKUP($A680,$A$5:$AY$132,7,FALSE)</f>
        <v>101462</v>
      </c>
      <c r="H680" s="379">
        <f>VLOOKUP($A680,$A$5:$AY$132,8,FALSE)</f>
        <v>54514</v>
      </c>
      <c r="I680" s="379">
        <f>VLOOKUP($A680,$A$5:$AY$132,9,FALSE)</f>
        <v>315</v>
      </c>
      <c r="J680" s="379" t="str">
        <f>VLOOKUP($A680,$A$5:$AY$132,10,FALSE)</f>
        <v>Y</v>
      </c>
      <c r="K680" s="379">
        <f>VLOOKUP($A680,$A$5:$AY$132,11,FALSE)</f>
        <v>50966</v>
      </c>
      <c r="L680" s="379">
        <f>VLOOKUP($A680,$A$5:$AY$132,12,FALSE)</f>
        <v>0</v>
      </c>
      <c r="M680" s="379">
        <f>VLOOKUP($A680,$A$4:$AY$132,13,FALSE)</f>
        <v>51223</v>
      </c>
      <c r="N680" s="379">
        <f>VLOOKUP($A680,$A$4:$AY$132,14,FALSE)</f>
        <v>0</v>
      </c>
      <c r="O680" s="379">
        <f>VLOOKUP($A680,$A$4:$AY$132,15,FALSE)</f>
        <v>0</v>
      </c>
      <c r="P680" s="379" t="str">
        <f>VLOOKUP($A680,$A$4:$AY$132,16,FALSE)</f>
        <v>Y</v>
      </c>
      <c r="Q680" s="379" t="str">
        <f>VLOOKUP($A680,$A$4:$AY$132,17,FALSE)</f>
        <v>Y</v>
      </c>
      <c r="R680" s="379" t="str">
        <f>VLOOKUP($A680,$A$4:$AY$132,18,FALSE)</f>
        <v>West Nowra Recycling ans Waste Facility</v>
      </c>
      <c r="S680" s="379" t="str">
        <f>VLOOKUP($A680,$A$4:$AY$132,19,FALSE)</f>
        <v>Ulladulla recycling and Waste Transfer Facility</v>
      </c>
      <c r="T680" s="379" t="str">
        <f>VLOOKUP($A680,$A$4:$AY$132,20,FALSE)</f>
        <v>Huskisson Recycling and Waste Transfer Facility</v>
      </c>
      <c r="U680" s="379" t="str">
        <f>VLOOKUP($A680,$A$4:$AY$132,21,FALSE)</f>
        <v>Berry Recycling and Waste transfer Facility</v>
      </c>
      <c r="V680" s="379" t="str">
        <f>VLOOKUP($A680,$A$4:$AY$132,22,FALSE)</f>
        <v>Callala Recycling and Waste transfer Facility</v>
      </c>
      <c r="W680" s="379" t="str">
        <f>VLOOKUP($A680,$A$4:$AY$132,23,FALSE)</f>
        <v>Sussex Inlet Recycling and Waste Transfer Facility</v>
      </c>
      <c r="X680" s="379">
        <f>VLOOKUP($A680,$A$4:$AY$132,24,FALSE)</f>
        <v>0</v>
      </c>
      <c r="Y680" s="379">
        <f>VLOOKUP($A680,$A$4:$AY$132,25,FALSE)</f>
        <v>0</v>
      </c>
      <c r="Z680" s="379">
        <f>VLOOKUP($A680,$A$4:$AY$132,26,FALSE)</f>
        <v>0</v>
      </c>
      <c r="AA680" s="379">
        <f>VLOOKUP($A680,$A$4:$AY$132,27,FALSE)</f>
        <v>0</v>
      </c>
      <c r="AB680" s="379">
        <f>VLOOKUP($A680,$A$4:$AY$132,28,FALSE)</f>
        <v>0</v>
      </c>
      <c r="AC680" s="379">
        <f>VLOOKUP($A680,$A$4:$AY$132,29,FALSE)</f>
        <v>0</v>
      </c>
      <c r="AD680" s="379">
        <f>VLOOKUP($A680,$A$4:$AY$132,30,FALSE)</f>
        <v>0</v>
      </c>
      <c r="AE680" s="379">
        <f>VLOOKUP($A680,$A$4:$AY$132,31,FALSE)</f>
        <v>0</v>
      </c>
      <c r="AF680" s="379">
        <f>VLOOKUP($A680,$A$4:$AY$132,32,FALSE)</f>
        <v>0</v>
      </c>
      <c r="AG680" s="379">
        <f>VLOOKUP($A680,$A$4:$AY$132,33,FALSE)</f>
        <v>0</v>
      </c>
      <c r="AH680" s="379">
        <f>VLOOKUP($A680,$A$4:$AY$132,34,FALSE)</f>
        <v>0</v>
      </c>
      <c r="AI680" s="379">
        <f>VLOOKUP($A680,$A$4:$AY$132,35,FALSE)</f>
        <v>0</v>
      </c>
      <c r="AJ680" s="379">
        <f>VLOOKUP($A680,$A$4:$AY$132,36,FALSE)</f>
        <v>0</v>
      </c>
      <c r="AK680" s="379">
        <f>VLOOKUP($A680,$A$4:$AY$132,37,FALSE)</f>
        <v>0</v>
      </c>
      <c r="AL680" s="379">
        <f>VLOOKUP($A680,$A$4:$AY$132,38,FALSE)</f>
        <v>0</v>
      </c>
      <c r="AM680" s="379">
        <f>VLOOKUP($A680,$A$4:$AY$132,39,FALSE)</f>
        <v>0</v>
      </c>
      <c r="AN680" s="490">
        <f>VLOOKUP($A680,$A$4:$AY$132,40,FALSE)</f>
        <v>0</v>
      </c>
      <c r="AO680" s="379">
        <f>VLOOKUP($A680,$A$4:$AY$132,41,FALSE)</f>
        <v>0</v>
      </c>
      <c r="AP680" s="379">
        <f>VLOOKUP($A680,$A$4:$AY$132,42,FALSE)</f>
        <v>0</v>
      </c>
      <c r="AQ680" s="379">
        <f>VLOOKUP($A680,$A$4:$AY$132,43,FALSE)</f>
        <v>0</v>
      </c>
      <c r="AR680" s="379">
        <f>VLOOKUP($A680,$A$4:$AY$132,44,FALSE)</f>
        <v>0</v>
      </c>
      <c r="AS680" s="379">
        <f>VLOOKUP($A680,$A$4:$AY$132,45,FALSE)</f>
        <v>0</v>
      </c>
      <c r="AT680" s="379">
        <f>VLOOKUP($A680,$A$4:$AY$132,46,FALSE)</f>
        <v>0</v>
      </c>
      <c r="AU680" s="379">
        <f>VLOOKUP($A680,$A$4:$AY$132,47,FALSE)</f>
        <v>0</v>
      </c>
      <c r="AV680" s="379">
        <f>VLOOKUP($A680,$A$4:$AY$132,48,FALSE)</f>
        <v>0</v>
      </c>
      <c r="AW680" s="379">
        <f>VLOOKUP($A680,$A$4:$AY$132,49,FALSE)</f>
        <v>0</v>
      </c>
      <c r="AX680" s="379">
        <f>VLOOKUP($A680,$A$4:$AY$132,50,FALSE)</f>
        <v>0</v>
      </c>
      <c r="AY680" s="379">
        <f>VLOOKUP($A680,$A$4:$AY$132,51,FALSE)</f>
        <v>0</v>
      </c>
    </row>
    <row r="681" spans="1:51" x14ac:dyDescent="0.2">
      <c r="A681" s="376">
        <v>18350</v>
      </c>
      <c r="B681" s="378" t="str">
        <f>VLOOKUP($A681,$A$5:$L$133,2,FALSE)</f>
        <v>Wingecarribee (A)</v>
      </c>
      <c r="C681" s="377" t="str">
        <f>VLOOKUP($A681,$A$5:$L$133,3,FALSE)</f>
        <v>ISJO</v>
      </c>
      <c r="D681" s="503" t="str">
        <f>VLOOKUP($A681,$A$5:$L$133,4,FALSE)</f>
        <v>E</v>
      </c>
      <c r="E681" s="503"/>
      <c r="F681"/>
      <c r="G681" s="379">
        <f>VLOOKUP($A681,$A$5:$AY$132,7,FALSE)</f>
        <v>48845</v>
      </c>
      <c r="H681" s="379">
        <f>VLOOKUP($A681,$A$5:$AY$132,8,FALSE)</f>
        <v>18416</v>
      </c>
      <c r="I681" s="379">
        <f>VLOOKUP($A681,$A$5:$AY$132,9,FALSE)</f>
        <v>412</v>
      </c>
      <c r="J681" s="379" t="str">
        <f>VLOOKUP($A681,$A$5:$AY$132,10,FALSE)</f>
        <v>Y</v>
      </c>
      <c r="K681" s="379">
        <f>VLOOKUP($A681,$A$5:$AY$132,11,FALSE)</f>
        <v>18964</v>
      </c>
      <c r="L681" s="379">
        <f>VLOOKUP($A681,$A$5:$AY$132,12,FALSE)</f>
        <v>0</v>
      </c>
      <c r="M681" s="379">
        <f>VLOOKUP($A681,$A$4:$AY$132,13,FALSE)</f>
        <v>18943</v>
      </c>
      <c r="N681" s="379">
        <f>VLOOKUP($A681,$A$4:$AY$132,14,FALSE)</f>
        <v>17745</v>
      </c>
      <c r="O681" s="379">
        <f>VLOOKUP($A681,$A$4:$AY$132,15,FALSE)</f>
        <v>0</v>
      </c>
      <c r="P681" s="379" t="str">
        <f>VLOOKUP($A681,$A$4:$AY$132,16,FALSE)</f>
        <v>Y</v>
      </c>
      <c r="Q681" s="379" t="str">
        <f>VLOOKUP($A681,$A$4:$AY$132,17,FALSE)</f>
        <v>Y</v>
      </c>
      <c r="R681" s="379" t="str">
        <f>VLOOKUP($A681,$A$4:$AY$132,18,FALSE)</f>
        <v>Resource Recovery Centre</v>
      </c>
      <c r="S681" s="379">
        <f>VLOOKUP($A681,$A$4:$AY$132,19,FALSE)</f>
        <v>0</v>
      </c>
      <c r="T681" s="379">
        <f>VLOOKUP($A681,$A$4:$AY$132,20,FALSE)</f>
        <v>0</v>
      </c>
      <c r="U681" s="379">
        <f>VLOOKUP($A681,$A$4:$AY$132,21,FALSE)</f>
        <v>0</v>
      </c>
      <c r="V681" s="379">
        <f>VLOOKUP($A681,$A$4:$AY$132,22,FALSE)</f>
        <v>0</v>
      </c>
      <c r="W681" s="379">
        <f>VLOOKUP($A681,$A$4:$AY$132,23,FALSE)</f>
        <v>0</v>
      </c>
      <c r="X681" s="379">
        <f>VLOOKUP($A681,$A$4:$AY$132,24,FALSE)</f>
        <v>0</v>
      </c>
      <c r="Y681" s="379">
        <f>VLOOKUP($A681,$A$4:$AY$132,25,FALSE)</f>
        <v>0</v>
      </c>
      <c r="Z681" s="379">
        <f>VLOOKUP($A681,$A$4:$AY$132,26,FALSE)</f>
        <v>0</v>
      </c>
      <c r="AA681" s="379">
        <f>VLOOKUP($A681,$A$4:$AY$132,27,FALSE)</f>
        <v>0</v>
      </c>
      <c r="AB681" s="379">
        <f>VLOOKUP($A681,$A$4:$AY$132,28,FALSE)</f>
        <v>0</v>
      </c>
      <c r="AC681" s="379">
        <f>VLOOKUP($A681,$A$4:$AY$132,29,FALSE)</f>
        <v>0</v>
      </c>
      <c r="AD681" s="379">
        <f>VLOOKUP($A681,$A$4:$AY$132,30,FALSE)</f>
        <v>0</v>
      </c>
      <c r="AE681" s="379">
        <f>VLOOKUP($A681,$A$4:$AY$132,31,FALSE)</f>
        <v>0</v>
      </c>
      <c r="AF681" s="379">
        <f>VLOOKUP($A681,$A$4:$AY$132,32,FALSE)</f>
        <v>0</v>
      </c>
      <c r="AG681" s="379">
        <f>VLOOKUP($A681,$A$4:$AY$132,33,FALSE)</f>
        <v>0</v>
      </c>
      <c r="AH681" s="379">
        <f>VLOOKUP($A681,$A$4:$AY$132,34,FALSE)</f>
        <v>0</v>
      </c>
      <c r="AI681" s="379">
        <f>VLOOKUP($A681,$A$4:$AY$132,35,FALSE)</f>
        <v>0</v>
      </c>
      <c r="AJ681" s="379">
        <f>VLOOKUP($A681,$A$4:$AY$132,36,FALSE)</f>
        <v>0</v>
      </c>
      <c r="AK681" s="379">
        <f>VLOOKUP($A681,$A$4:$AY$132,37,FALSE)</f>
        <v>0</v>
      </c>
      <c r="AL681" s="379">
        <f>VLOOKUP($A681,$A$4:$AY$132,38,FALSE)</f>
        <v>0</v>
      </c>
      <c r="AM681" s="379">
        <f>VLOOKUP($A681,$A$4:$AY$132,39,FALSE)</f>
        <v>0</v>
      </c>
      <c r="AN681" s="490">
        <f>VLOOKUP($A681,$A$4:$AY$132,40,FALSE)</f>
        <v>0</v>
      </c>
      <c r="AO681" s="379">
        <f>VLOOKUP($A681,$A$4:$AY$132,41,FALSE)</f>
        <v>0</v>
      </c>
      <c r="AP681" s="379">
        <f>VLOOKUP($A681,$A$4:$AY$132,42,FALSE)</f>
        <v>0</v>
      </c>
      <c r="AQ681" s="379">
        <f>VLOOKUP($A681,$A$4:$AY$132,43,FALSE)</f>
        <v>0</v>
      </c>
      <c r="AR681" s="379">
        <f>VLOOKUP($A681,$A$4:$AY$132,44,FALSE)</f>
        <v>0</v>
      </c>
      <c r="AS681" s="379">
        <f>VLOOKUP($A681,$A$4:$AY$132,45,FALSE)</f>
        <v>0</v>
      </c>
      <c r="AT681" s="379">
        <f>VLOOKUP($A681,$A$4:$AY$132,46,FALSE)</f>
        <v>0</v>
      </c>
      <c r="AU681" s="379">
        <f>VLOOKUP($A681,$A$4:$AY$132,47,FALSE)</f>
        <v>0</v>
      </c>
      <c r="AV681" s="379">
        <f>VLOOKUP($A681,$A$4:$AY$132,48,FALSE)</f>
        <v>0</v>
      </c>
      <c r="AW681" s="379">
        <f>VLOOKUP($A681,$A$4:$AY$132,49,FALSE)</f>
        <v>0</v>
      </c>
      <c r="AX681" s="379">
        <f>VLOOKUP($A681,$A$4:$AY$132,50,FALSE)</f>
        <v>0</v>
      </c>
      <c r="AY681" s="379">
        <f>VLOOKUP($A681,$A$4:$AY$132,51,FALSE)</f>
        <v>0</v>
      </c>
    </row>
    <row r="682" spans="1:51" ht="13.5" thickBot="1" x14ac:dyDescent="0.25">
      <c r="A682" s="376">
        <v>18450</v>
      </c>
      <c r="B682" s="378" t="str">
        <f>VLOOKUP($A682,$A$5:$L$133,2,FALSE)</f>
        <v>Wollongong (C)</v>
      </c>
      <c r="C682" s="377" t="str">
        <f>VLOOKUP($A682,$A$5:$L$133,3,FALSE)</f>
        <v>ISJO</v>
      </c>
      <c r="D682" s="503" t="str">
        <f>VLOOKUP($A682,$A$5:$L$133,4,FALSE)</f>
        <v>E</v>
      </c>
      <c r="E682" s="503"/>
      <c r="F682"/>
      <c r="G682" s="379">
        <f>VLOOKUP($A682,$A$5:$AY$132,7,FALSE)</f>
        <v>211213</v>
      </c>
      <c r="H682" s="379">
        <f>VLOOKUP($A682,$A$5:$AY$132,8,FALSE)</f>
        <v>82433</v>
      </c>
      <c r="I682" s="379">
        <f>VLOOKUP($A682,$A$5:$AY$132,9,FALSE)</f>
        <v>399</v>
      </c>
      <c r="J682" s="379" t="str">
        <f>VLOOKUP($A682,$A$5:$AY$132,10,FALSE)</f>
        <v>Y</v>
      </c>
      <c r="K682" s="379">
        <f>VLOOKUP($A682,$A$5:$AY$132,11,FALSE)</f>
        <v>82035</v>
      </c>
      <c r="L682" s="379">
        <f>VLOOKUP($A682,$A$5:$AY$132,12,FALSE)</f>
        <v>0</v>
      </c>
      <c r="M682" s="379">
        <f>VLOOKUP($A682,$A$4:$AY$132,13,FALSE)</f>
        <v>82035</v>
      </c>
      <c r="N682" s="379">
        <f>VLOOKUP($A682,$A$4:$AY$132,14,FALSE)</f>
        <v>82035</v>
      </c>
      <c r="O682" s="379">
        <f>VLOOKUP($A682,$A$4:$AY$132,15,FALSE)</f>
        <v>0</v>
      </c>
      <c r="P682" s="379" t="str">
        <f>VLOOKUP($A682,$A$4:$AY$132,16,FALSE)</f>
        <v>Y</v>
      </c>
      <c r="Q682" s="379" t="str">
        <f>VLOOKUP($A682,$A$4:$AY$132,17,FALSE)</f>
        <v>Y</v>
      </c>
      <c r="R682" s="379" t="str">
        <f>VLOOKUP($A682,$A$4:$AY$132,18,FALSE)</f>
        <v>Whytes Gully Community droppff</v>
      </c>
      <c r="S682" s="379">
        <f>VLOOKUP($A682,$A$4:$AY$132,19,FALSE)</f>
        <v>0</v>
      </c>
      <c r="T682" s="379">
        <f>VLOOKUP($A682,$A$4:$AY$132,20,FALSE)</f>
        <v>0</v>
      </c>
      <c r="U682" s="379">
        <f>VLOOKUP($A682,$A$4:$AY$132,21,FALSE)</f>
        <v>0</v>
      </c>
      <c r="V682" s="379">
        <f>VLOOKUP($A682,$A$4:$AY$132,22,FALSE)</f>
        <v>0</v>
      </c>
      <c r="W682" s="379">
        <f>VLOOKUP($A682,$A$4:$AY$132,23,FALSE)</f>
        <v>0</v>
      </c>
      <c r="X682" s="379">
        <f>VLOOKUP($A682,$A$4:$AY$132,24,FALSE)</f>
        <v>0</v>
      </c>
      <c r="Y682" s="379">
        <f>VLOOKUP($A682,$A$4:$AY$132,25,FALSE)</f>
        <v>0</v>
      </c>
      <c r="Z682" s="379">
        <f>VLOOKUP($A682,$A$4:$AY$132,26,FALSE)</f>
        <v>0</v>
      </c>
      <c r="AA682" s="379">
        <f>VLOOKUP($A682,$A$4:$AY$132,27,FALSE)</f>
        <v>0</v>
      </c>
      <c r="AB682" s="379">
        <f>VLOOKUP($A682,$A$4:$AY$132,28,FALSE)</f>
        <v>0</v>
      </c>
      <c r="AC682" s="379">
        <f>VLOOKUP($A682,$A$4:$AY$132,29,FALSE)</f>
        <v>0</v>
      </c>
      <c r="AD682" s="379">
        <f>VLOOKUP($A682,$A$4:$AY$132,30,FALSE)</f>
        <v>0</v>
      </c>
      <c r="AE682" s="379">
        <f>VLOOKUP($A682,$A$4:$AY$132,31,FALSE)</f>
        <v>0</v>
      </c>
      <c r="AF682" s="379">
        <f>VLOOKUP($A682,$A$4:$AY$132,32,FALSE)</f>
        <v>0</v>
      </c>
      <c r="AG682" s="379">
        <f>VLOOKUP($A682,$A$4:$AY$132,33,FALSE)</f>
        <v>0</v>
      </c>
      <c r="AH682" s="379">
        <f>VLOOKUP($A682,$A$4:$AY$132,34,FALSE)</f>
        <v>0</v>
      </c>
      <c r="AI682" s="379">
        <f>VLOOKUP($A682,$A$4:$AY$132,35,FALSE)</f>
        <v>0</v>
      </c>
      <c r="AJ682" s="379">
        <f>VLOOKUP($A682,$A$4:$AY$132,36,FALSE)</f>
        <v>0</v>
      </c>
      <c r="AK682" s="379">
        <f>VLOOKUP($A682,$A$4:$AY$132,37,FALSE)</f>
        <v>0</v>
      </c>
      <c r="AL682" s="379">
        <f>VLOOKUP($A682,$A$4:$AY$132,38,FALSE)</f>
        <v>0</v>
      </c>
      <c r="AM682" s="379">
        <f>VLOOKUP($A682,$A$4:$AY$132,39,FALSE)</f>
        <v>0</v>
      </c>
      <c r="AN682" s="490">
        <f>VLOOKUP($A682,$A$4:$AY$132,40,FALSE)</f>
        <v>0</v>
      </c>
      <c r="AO682" s="379">
        <f>VLOOKUP($A682,$A$4:$AY$132,41,FALSE)</f>
        <v>0</v>
      </c>
      <c r="AP682" s="379">
        <f>VLOOKUP($A682,$A$4:$AY$132,42,FALSE)</f>
        <v>0</v>
      </c>
      <c r="AQ682" s="379">
        <f>VLOOKUP($A682,$A$4:$AY$132,43,FALSE)</f>
        <v>0</v>
      </c>
      <c r="AR682" s="379">
        <f>VLOOKUP($A682,$A$4:$AY$132,44,FALSE)</f>
        <v>0</v>
      </c>
      <c r="AS682" s="379">
        <f>VLOOKUP($A682,$A$4:$AY$132,45,FALSE)</f>
        <v>0</v>
      </c>
      <c r="AT682" s="379">
        <f>VLOOKUP($A682,$A$4:$AY$132,46,FALSE)</f>
        <v>0</v>
      </c>
      <c r="AU682" s="379">
        <f>VLOOKUP($A682,$A$4:$AY$132,47,FALSE)</f>
        <v>0</v>
      </c>
      <c r="AV682" s="379">
        <f>VLOOKUP($A682,$A$4:$AY$132,48,FALSE)</f>
        <v>0</v>
      </c>
      <c r="AW682" s="379">
        <f>VLOOKUP($A682,$A$4:$AY$132,49,FALSE)</f>
        <v>0</v>
      </c>
      <c r="AX682" s="379">
        <f>VLOOKUP($A682,$A$4:$AY$132,50,FALSE)</f>
        <v>0</v>
      </c>
      <c r="AY682" s="379">
        <f>VLOOKUP($A682,$A$4:$AY$132,51,FALSE)</f>
        <v>0</v>
      </c>
    </row>
    <row r="683" spans="1:51" ht="13.5" thickTop="1" x14ac:dyDescent="0.2">
      <c r="A683" s="380"/>
      <c r="B683" s="380"/>
      <c r="C683" s="380" t="s">
        <v>264</v>
      </c>
      <c r="D683" s="380"/>
      <c r="E683" s="484"/>
      <c r="F683" s="381"/>
      <c r="G683" s="382">
        <f>COUNTIF(G678:G682,"&gt;0")</f>
        <v>5</v>
      </c>
      <c r="H683" s="382">
        <f t="shared" ref="H683:AY683" si="1048">COUNTIF(H678:H682,"&gt;0")</f>
        <v>5</v>
      </c>
      <c r="I683" s="382">
        <f t="shared" si="1048"/>
        <v>5</v>
      </c>
      <c r="J683" s="382">
        <f t="shared" si="1048"/>
        <v>0</v>
      </c>
      <c r="K683" s="382">
        <f t="shared" si="1048"/>
        <v>5</v>
      </c>
      <c r="L683" s="382">
        <f t="shared" si="1048"/>
        <v>0</v>
      </c>
      <c r="M683" s="382">
        <f t="shared" si="1048"/>
        <v>5</v>
      </c>
      <c r="N683" s="382">
        <f t="shared" si="1048"/>
        <v>2</v>
      </c>
      <c r="O683" s="382">
        <f t="shared" si="1048"/>
        <v>2</v>
      </c>
      <c r="P683" s="382">
        <f t="shared" si="1048"/>
        <v>0</v>
      </c>
      <c r="Q683" s="382">
        <f t="shared" si="1048"/>
        <v>0</v>
      </c>
      <c r="R683" s="382">
        <f t="shared" si="1048"/>
        <v>0</v>
      </c>
      <c r="S683" s="382">
        <f t="shared" si="1048"/>
        <v>0</v>
      </c>
      <c r="T683" s="382">
        <f t="shared" si="1048"/>
        <v>0</v>
      </c>
      <c r="U683" s="382">
        <f t="shared" si="1048"/>
        <v>0</v>
      </c>
      <c r="V683" s="382">
        <f t="shared" si="1048"/>
        <v>0</v>
      </c>
      <c r="W683" s="382">
        <f t="shared" si="1048"/>
        <v>0</v>
      </c>
      <c r="X683" s="382">
        <f t="shared" si="1048"/>
        <v>0</v>
      </c>
      <c r="Y683" s="382">
        <f t="shared" si="1048"/>
        <v>0</v>
      </c>
      <c r="Z683" s="382">
        <f t="shared" si="1048"/>
        <v>0</v>
      </c>
      <c r="AA683" s="382">
        <f t="shared" si="1048"/>
        <v>0</v>
      </c>
      <c r="AB683" s="382">
        <f t="shared" si="1048"/>
        <v>0</v>
      </c>
      <c r="AC683" s="382">
        <f t="shared" si="1048"/>
        <v>0</v>
      </c>
      <c r="AD683" s="382">
        <f t="shared" si="1048"/>
        <v>0</v>
      </c>
      <c r="AE683" s="382">
        <f t="shared" si="1048"/>
        <v>0</v>
      </c>
      <c r="AF683" s="382">
        <f t="shared" si="1048"/>
        <v>0</v>
      </c>
      <c r="AG683" s="382">
        <f t="shared" si="1048"/>
        <v>0</v>
      </c>
      <c r="AH683" s="382">
        <f t="shared" si="1048"/>
        <v>0</v>
      </c>
      <c r="AI683" s="382">
        <f t="shared" si="1048"/>
        <v>0</v>
      </c>
      <c r="AJ683" s="382">
        <f t="shared" si="1048"/>
        <v>0</v>
      </c>
      <c r="AK683" s="382">
        <f t="shared" si="1048"/>
        <v>0</v>
      </c>
      <c r="AL683" s="382">
        <f t="shared" si="1048"/>
        <v>0</v>
      </c>
      <c r="AM683" s="382">
        <f t="shared" si="1048"/>
        <v>0</v>
      </c>
      <c r="AN683" s="485">
        <f t="shared" si="1048"/>
        <v>0</v>
      </c>
      <c r="AO683" s="382">
        <f t="shared" si="1048"/>
        <v>0</v>
      </c>
      <c r="AP683" s="382">
        <f t="shared" si="1048"/>
        <v>0</v>
      </c>
      <c r="AQ683" s="382">
        <f t="shared" si="1048"/>
        <v>0</v>
      </c>
      <c r="AR683" s="382">
        <f t="shared" si="1048"/>
        <v>0</v>
      </c>
      <c r="AS683" s="382">
        <f t="shared" si="1048"/>
        <v>0</v>
      </c>
      <c r="AT683" s="382">
        <f t="shared" si="1048"/>
        <v>0</v>
      </c>
      <c r="AU683" s="382">
        <f t="shared" si="1048"/>
        <v>0</v>
      </c>
      <c r="AV683" s="382">
        <f t="shared" si="1048"/>
        <v>0</v>
      </c>
      <c r="AW683" s="382">
        <f t="shared" si="1048"/>
        <v>0</v>
      </c>
      <c r="AX683" s="382">
        <f t="shared" si="1048"/>
        <v>0</v>
      </c>
      <c r="AY683" s="382">
        <f t="shared" si="1048"/>
        <v>0</v>
      </c>
    </row>
    <row r="684" spans="1:51" x14ac:dyDescent="0.2">
      <c r="A684" s="376"/>
      <c r="B684" s="376"/>
      <c r="C684" s="376" t="s">
        <v>265</v>
      </c>
      <c r="D684" s="376"/>
      <c r="E684" s="488"/>
      <c r="F684" s="384"/>
      <c r="G684" s="385">
        <f>SUM(G678:G682)</f>
        <v>453925</v>
      </c>
      <c r="H684" s="385">
        <f t="shared" ref="H684:AY684" si="1049">SUM(H678:H682)</f>
        <v>192226</v>
      </c>
      <c r="I684" s="385">
        <f t="shared" si="1049"/>
        <v>2189.6</v>
      </c>
      <c r="J684" s="385">
        <f t="shared" si="1049"/>
        <v>0</v>
      </c>
      <c r="K684" s="385">
        <f t="shared" si="1049"/>
        <v>186726</v>
      </c>
      <c r="L684" s="385">
        <f t="shared" si="1049"/>
        <v>0</v>
      </c>
      <c r="M684" s="385">
        <f t="shared" si="1049"/>
        <v>187404</v>
      </c>
      <c r="N684" s="385">
        <f t="shared" si="1049"/>
        <v>99780</v>
      </c>
      <c r="O684" s="385">
        <f t="shared" si="1049"/>
        <v>33201</v>
      </c>
      <c r="P684" s="385">
        <f t="shared" si="1049"/>
        <v>0</v>
      </c>
      <c r="Q684" s="385">
        <f t="shared" si="1049"/>
        <v>0</v>
      </c>
      <c r="R684" s="385">
        <f t="shared" si="1049"/>
        <v>0</v>
      </c>
      <c r="S684" s="385">
        <f t="shared" si="1049"/>
        <v>0</v>
      </c>
      <c r="T684" s="385">
        <f t="shared" si="1049"/>
        <v>0</v>
      </c>
      <c r="U684" s="385">
        <f t="shared" si="1049"/>
        <v>0</v>
      </c>
      <c r="V684" s="385">
        <f t="shared" si="1049"/>
        <v>0</v>
      </c>
      <c r="W684" s="385">
        <f t="shared" si="1049"/>
        <v>0</v>
      </c>
      <c r="X684" s="385">
        <f t="shared" si="1049"/>
        <v>0</v>
      </c>
      <c r="Y684" s="385">
        <f t="shared" si="1049"/>
        <v>0</v>
      </c>
      <c r="Z684" s="385">
        <f t="shared" si="1049"/>
        <v>0</v>
      </c>
      <c r="AA684" s="385">
        <f t="shared" si="1049"/>
        <v>0</v>
      </c>
      <c r="AB684" s="385">
        <f t="shared" si="1049"/>
        <v>0</v>
      </c>
      <c r="AC684" s="385">
        <f t="shared" si="1049"/>
        <v>0</v>
      </c>
      <c r="AD684" s="385">
        <f t="shared" si="1049"/>
        <v>0</v>
      </c>
      <c r="AE684" s="385">
        <f t="shared" si="1049"/>
        <v>0</v>
      </c>
      <c r="AF684" s="385">
        <f t="shared" si="1049"/>
        <v>0</v>
      </c>
      <c r="AG684" s="385">
        <f t="shared" si="1049"/>
        <v>0</v>
      </c>
      <c r="AH684" s="385">
        <f t="shared" si="1049"/>
        <v>0</v>
      </c>
      <c r="AI684" s="385">
        <f t="shared" si="1049"/>
        <v>0</v>
      </c>
      <c r="AJ684" s="385">
        <f t="shared" si="1049"/>
        <v>0</v>
      </c>
      <c r="AK684" s="385">
        <f t="shared" si="1049"/>
        <v>0</v>
      </c>
      <c r="AL684" s="385">
        <f t="shared" si="1049"/>
        <v>0</v>
      </c>
      <c r="AM684" s="385">
        <f t="shared" si="1049"/>
        <v>0</v>
      </c>
      <c r="AN684" s="489">
        <f t="shared" si="1049"/>
        <v>0</v>
      </c>
      <c r="AO684" s="385">
        <f t="shared" si="1049"/>
        <v>0</v>
      </c>
      <c r="AP684" s="385">
        <f t="shared" si="1049"/>
        <v>0</v>
      </c>
      <c r="AQ684" s="385">
        <f t="shared" si="1049"/>
        <v>0</v>
      </c>
      <c r="AR684" s="385">
        <f t="shared" si="1049"/>
        <v>0</v>
      </c>
      <c r="AS684" s="385">
        <f t="shared" si="1049"/>
        <v>0</v>
      </c>
      <c r="AT684" s="385">
        <f t="shared" si="1049"/>
        <v>0</v>
      </c>
      <c r="AU684" s="385">
        <f t="shared" si="1049"/>
        <v>0</v>
      </c>
      <c r="AV684" s="385">
        <f t="shared" si="1049"/>
        <v>0</v>
      </c>
      <c r="AW684" s="385">
        <f t="shared" si="1049"/>
        <v>0</v>
      </c>
      <c r="AX684" s="385">
        <f t="shared" si="1049"/>
        <v>0</v>
      </c>
      <c r="AY684" s="385">
        <f t="shared" si="1049"/>
        <v>0</v>
      </c>
    </row>
    <row r="685" spans="1:51" x14ac:dyDescent="0.2">
      <c r="A685" s="376"/>
      <c r="B685" s="376"/>
      <c r="C685" s="376" t="s">
        <v>266</v>
      </c>
      <c r="D685" s="376"/>
      <c r="E685" s="488"/>
      <c r="F685" s="384"/>
      <c r="G685" s="379">
        <f>MIN(G678:G682)</f>
        <v>21671</v>
      </c>
      <c r="H685" s="379">
        <f t="shared" ref="H685:AY685" si="1050">MIN(H678:H682)</f>
        <v>10000</v>
      </c>
      <c r="I685" s="379">
        <f t="shared" si="1050"/>
        <v>315</v>
      </c>
      <c r="J685" s="379">
        <f t="shared" si="1050"/>
        <v>0</v>
      </c>
      <c r="K685" s="379">
        <f t="shared" si="1050"/>
        <v>8874</v>
      </c>
      <c r="L685" s="379">
        <f t="shared" si="1050"/>
        <v>0</v>
      </c>
      <c r="M685" s="379">
        <f t="shared" si="1050"/>
        <v>9377</v>
      </c>
      <c r="N685" s="379">
        <f t="shared" si="1050"/>
        <v>0</v>
      </c>
      <c r="O685" s="379">
        <f t="shared" si="1050"/>
        <v>0</v>
      </c>
      <c r="P685" s="379">
        <f t="shared" si="1050"/>
        <v>0</v>
      </c>
      <c r="Q685" s="379">
        <f t="shared" si="1050"/>
        <v>0</v>
      </c>
      <c r="R685" s="379">
        <f t="shared" si="1050"/>
        <v>0</v>
      </c>
      <c r="S685" s="379">
        <f t="shared" si="1050"/>
        <v>0</v>
      </c>
      <c r="T685" s="379">
        <f t="shared" si="1050"/>
        <v>0</v>
      </c>
      <c r="U685" s="379">
        <f t="shared" si="1050"/>
        <v>0</v>
      </c>
      <c r="V685" s="379">
        <f t="shared" si="1050"/>
        <v>0</v>
      </c>
      <c r="W685" s="379">
        <f t="shared" si="1050"/>
        <v>0</v>
      </c>
      <c r="X685" s="379">
        <f t="shared" si="1050"/>
        <v>0</v>
      </c>
      <c r="Y685" s="379">
        <f t="shared" si="1050"/>
        <v>0</v>
      </c>
      <c r="Z685" s="379">
        <f t="shared" si="1050"/>
        <v>0</v>
      </c>
      <c r="AA685" s="379">
        <f t="shared" si="1050"/>
        <v>0</v>
      </c>
      <c r="AB685" s="379">
        <f t="shared" si="1050"/>
        <v>0</v>
      </c>
      <c r="AC685" s="379">
        <f t="shared" si="1050"/>
        <v>0</v>
      </c>
      <c r="AD685" s="379">
        <f t="shared" si="1050"/>
        <v>0</v>
      </c>
      <c r="AE685" s="379">
        <f t="shared" si="1050"/>
        <v>0</v>
      </c>
      <c r="AF685" s="379">
        <f t="shared" si="1050"/>
        <v>0</v>
      </c>
      <c r="AG685" s="379">
        <f t="shared" si="1050"/>
        <v>0</v>
      </c>
      <c r="AH685" s="379">
        <f t="shared" si="1050"/>
        <v>0</v>
      </c>
      <c r="AI685" s="379">
        <f t="shared" si="1050"/>
        <v>0</v>
      </c>
      <c r="AJ685" s="379">
        <f t="shared" si="1050"/>
        <v>0</v>
      </c>
      <c r="AK685" s="379">
        <f t="shared" si="1050"/>
        <v>0</v>
      </c>
      <c r="AL685" s="379">
        <f t="shared" si="1050"/>
        <v>0</v>
      </c>
      <c r="AM685" s="379">
        <f t="shared" si="1050"/>
        <v>0</v>
      </c>
      <c r="AN685" s="490">
        <f t="shared" si="1050"/>
        <v>0</v>
      </c>
      <c r="AO685" s="379">
        <f t="shared" si="1050"/>
        <v>0</v>
      </c>
      <c r="AP685" s="379">
        <f t="shared" si="1050"/>
        <v>0</v>
      </c>
      <c r="AQ685" s="379">
        <f t="shared" si="1050"/>
        <v>0</v>
      </c>
      <c r="AR685" s="379">
        <f t="shared" si="1050"/>
        <v>0</v>
      </c>
      <c r="AS685" s="379">
        <f t="shared" si="1050"/>
        <v>0</v>
      </c>
      <c r="AT685" s="379">
        <f t="shared" si="1050"/>
        <v>0</v>
      </c>
      <c r="AU685" s="379">
        <f t="shared" si="1050"/>
        <v>0</v>
      </c>
      <c r="AV685" s="379">
        <f t="shared" si="1050"/>
        <v>0</v>
      </c>
      <c r="AW685" s="379">
        <f t="shared" si="1050"/>
        <v>0</v>
      </c>
      <c r="AX685" s="379">
        <f t="shared" si="1050"/>
        <v>0</v>
      </c>
      <c r="AY685" s="379">
        <f t="shared" si="1050"/>
        <v>0</v>
      </c>
    </row>
    <row r="686" spans="1:51" x14ac:dyDescent="0.2">
      <c r="A686" s="376"/>
      <c r="B686" s="376"/>
      <c r="C686" s="376" t="s">
        <v>267</v>
      </c>
      <c r="D686" s="376"/>
      <c r="E686" s="488"/>
      <c r="F686" s="384"/>
      <c r="G686" s="379">
        <f>MAX(G678:G682)</f>
        <v>211213</v>
      </c>
      <c r="H686" s="379">
        <f t="shared" ref="H686:AY686" si="1051">MAX(H678:H682)</f>
        <v>82433</v>
      </c>
      <c r="I686" s="379">
        <f t="shared" si="1051"/>
        <v>535</v>
      </c>
      <c r="J686" s="379">
        <f t="shared" si="1051"/>
        <v>0</v>
      </c>
      <c r="K686" s="379">
        <f t="shared" si="1051"/>
        <v>82035</v>
      </c>
      <c r="L686" s="379">
        <f t="shared" si="1051"/>
        <v>0</v>
      </c>
      <c r="M686" s="379">
        <f t="shared" si="1051"/>
        <v>82035</v>
      </c>
      <c r="N686" s="379">
        <f t="shared" si="1051"/>
        <v>82035</v>
      </c>
      <c r="O686" s="379">
        <f t="shared" si="1051"/>
        <v>24327</v>
      </c>
      <c r="P686" s="379">
        <f t="shared" si="1051"/>
        <v>0</v>
      </c>
      <c r="Q686" s="379">
        <f t="shared" si="1051"/>
        <v>0</v>
      </c>
      <c r="R686" s="379">
        <f t="shared" si="1051"/>
        <v>0</v>
      </c>
      <c r="S686" s="379">
        <f t="shared" si="1051"/>
        <v>0</v>
      </c>
      <c r="T686" s="379">
        <f t="shared" si="1051"/>
        <v>0</v>
      </c>
      <c r="U686" s="379">
        <f t="shared" si="1051"/>
        <v>0</v>
      </c>
      <c r="V686" s="379">
        <f t="shared" si="1051"/>
        <v>0</v>
      </c>
      <c r="W686" s="379">
        <f t="shared" si="1051"/>
        <v>0</v>
      </c>
      <c r="X686" s="379">
        <f t="shared" si="1051"/>
        <v>0</v>
      </c>
      <c r="Y686" s="379">
        <f t="shared" si="1051"/>
        <v>0</v>
      </c>
      <c r="Z686" s="379">
        <f t="shared" si="1051"/>
        <v>0</v>
      </c>
      <c r="AA686" s="379">
        <f t="shared" si="1051"/>
        <v>0</v>
      </c>
      <c r="AB686" s="379">
        <f t="shared" si="1051"/>
        <v>0</v>
      </c>
      <c r="AC686" s="379">
        <f t="shared" si="1051"/>
        <v>0</v>
      </c>
      <c r="AD686" s="379">
        <f t="shared" si="1051"/>
        <v>0</v>
      </c>
      <c r="AE686" s="379">
        <f t="shared" si="1051"/>
        <v>0</v>
      </c>
      <c r="AF686" s="379">
        <f t="shared" si="1051"/>
        <v>0</v>
      </c>
      <c r="AG686" s="379">
        <f t="shared" si="1051"/>
        <v>0</v>
      </c>
      <c r="AH686" s="379">
        <f t="shared" si="1051"/>
        <v>0</v>
      </c>
      <c r="AI686" s="379">
        <f t="shared" si="1051"/>
        <v>0</v>
      </c>
      <c r="AJ686" s="379">
        <f t="shared" si="1051"/>
        <v>0</v>
      </c>
      <c r="AK686" s="379">
        <f t="shared" si="1051"/>
        <v>0</v>
      </c>
      <c r="AL686" s="379">
        <f t="shared" si="1051"/>
        <v>0</v>
      </c>
      <c r="AM686" s="379">
        <f t="shared" si="1051"/>
        <v>0</v>
      </c>
      <c r="AN686" s="490">
        <f t="shared" si="1051"/>
        <v>0</v>
      </c>
      <c r="AO686" s="379">
        <f t="shared" si="1051"/>
        <v>0</v>
      </c>
      <c r="AP686" s="379">
        <f t="shared" si="1051"/>
        <v>0</v>
      </c>
      <c r="AQ686" s="379">
        <f t="shared" si="1051"/>
        <v>0</v>
      </c>
      <c r="AR686" s="379">
        <f t="shared" si="1051"/>
        <v>0</v>
      </c>
      <c r="AS686" s="379">
        <f t="shared" si="1051"/>
        <v>0</v>
      </c>
      <c r="AT686" s="379">
        <f t="shared" si="1051"/>
        <v>0</v>
      </c>
      <c r="AU686" s="379">
        <f t="shared" si="1051"/>
        <v>0</v>
      </c>
      <c r="AV686" s="379">
        <f t="shared" si="1051"/>
        <v>0</v>
      </c>
      <c r="AW686" s="379">
        <f t="shared" si="1051"/>
        <v>0</v>
      </c>
      <c r="AX686" s="379">
        <f t="shared" si="1051"/>
        <v>0</v>
      </c>
      <c r="AY686" s="379">
        <f t="shared" si="1051"/>
        <v>0</v>
      </c>
    </row>
    <row r="687" spans="1:51" x14ac:dyDescent="0.2">
      <c r="A687" s="376"/>
      <c r="B687" s="376"/>
      <c r="C687" s="376" t="s">
        <v>268</v>
      </c>
      <c r="D687" s="376"/>
      <c r="E687" s="488"/>
      <c r="F687" s="384"/>
      <c r="G687" s="379">
        <f>AVERAGE(G678:G682)</f>
        <v>90785</v>
      </c>
      <c r="H687" s="379">
        <f t="shared" ref="H687:AY687" si="1052">AVERAGE(H678:H682)</f>
        <v>38445.199999999997</v>
      </c>
      <c r="I687" s="379">
        <f t="shared" si="1052"/>
        <v>437.91999999999996</v>
      </c>
      <c r="J687" s="379" t="e">
        <f t="shared" si="1052"/>
        <v>#DIV/0!</v>
      </c>
      <c r="K687" s="379">
        <f t="shared" si="1052"/>
        <v>37345.199999999997</v>
      </c>
      <c r="L687" s="379">
        <f t="shared" si="1052"/>
        <v>0</v>
      </c>
      <c r="M687" s="379">
        <f t="shared" si="1052"/>
        <v>37480.800000000003</v>
      </c>
      <c r="N687" s="379">
        <f t="shared" si="1052"/>
        <v>19956</v>
      </c>
      <c r="O687" s="379">
        <f t="shared" si="1052"/>
        <v>6640.2</v>
      </c>
      <c r="P687" s="379" t="e">
        <f t="shared" si="1052"/>
        <v>#DIV/0!</v>
      </c>
      <c r="Q687" s="379" t="e">
        <f t="shared" si="1052"/>
        <v>#DIV/0!</v>
      </c>
      <c r="R687" s="379" t="e">
        <f t="shared" si="1052"/>
        <v>#DIV/0!</v>
      </c>
      <c r="S687" s="379">
        <f t="shared" si="1052"/>
        <v>0</v>
      </c>
      <c r="T687" s="379">
        <f t="shared" si="1052"/>
        <v>0</v>
      </c>
      <c r="U687" s="379">
        <f t="shared" si="1052"/>
        <v>0</v>
      </c>
      <c r="V687" s="379">
        <f t="shared" si="1052"/>
        <v>0</v>
      </c>
      <c r="W687" s="379">
        <f t="shared" si="1052"/>
        <v>0</v>
      </c>
      <c r="X687" s="379">
        <f t="shared" si="1052"/>
        <v>0</v>
      </c>
      <c r="Y687" s="379">
        <f t="shared" si="1052"/>
        <v>0</v>
      </c>
      <c r="Z687" s="379">
        <f t="shared" si="1052"/>
        <v>0</v>
      </c>
      <c r="AA687" s="379">
        <f t="shared" si="1052"/>
        <v>0</v>
      </c>
      <c r="AB687" s="379">
        <f t="shared" si="1052"/>
        <v>0</v>
      </c>
      <c r="AC687" s="379">
        <f t="shared" si="1052"/>
        <v>0</v>
      </c>
      <c r="AD687" s="379">
        <f t="shared" si="1052"/>
        <v>0</v>
      </c>
      <c r="AE687" s="379">
        <f t="shared" si="1052"/>
        <v>0</v>
      </c>
      <c r="AF687" s="379">
        <f t="shared" si="1052"/>
        <v>0</v>
      </c>
      <c r="AG687" s="379">
        <f t="shared" si="1052"/>
        <v>0</v>
      </c>
      <c r="AH687" s="379">
        <f t="shared" si="1052"/>
        <v>0</v>
      </c>
      <c r="AI687" s="379">
        <f t="shared" si="1052"/>
        <v>0</v>
      </c>
      <c r="AJ687" s="379">
        <f t="shared" si="1052"/>
        <v>0</v>
      </c>
      <c r="AK687" s="379">
        <f t="shared" si="1052"/>
        <v>0</v>
      </c>
      <c r="AL687" s="379">
        <f t="shared" si="1052"/>
        <v>0</v>
      </c>
      <c r="AM687" s="379">
        <f t="shared" si="1052"/>
        <v>0</v>
      </c>
      <c r="AN687" s="490">
        <f t="shared" si="1052"/>
        <v>0</v>
      </c>
      <c r="AO687" s="379">
        <f t="shared" si="1052"/>
        <v>0</v>
      </c>
      <c r="AP687" s="379">
        <f t="shared" si="1052"/>
        <v>0</v>
      </c>
      <c r="AQ687" s="379">
        <f t="shared" si="1052"/>
        <v>0</v>
      </c>
      <c r="AR687" s="379">
        <f t="shared" si="1052"/>
        <v>0</v>
      </c>
      <c r="AS687" s="379">
        <f t="shared" si="1052"/>
        <v>0</v>
      </c>
      <c r="AT687" s="379">
        <f t="shared" si="1052"/>
        <v>0</v>
      </c>
      <c r="AU687" s="379">
        <f t="shared" si="1052"/>
        <v>0</v>
      </c>
      <c r="AV687" s="379">
        <f t="shared" si="1052"/>
        <v>0</v>
      </c>
      <c r="AW687" s="379">
        <f t="shared" si="1052"/>
        <v>0</v>
      </c>
      <c r="AX687" s="379">
        <f t="shared" si="1052"/>
        <v>0</v>
      </c>
      <c r="AY687" s="379">
        <f t="shared" si="1052"/>
        <v>0</v>
      </c>
    </row>
    <row r="688" spans="1:51" ht="13.5" thickBot="1" x14ac:dyDescent="0.25">
      <c r="A688" s="386"/>
      <c r="B688" s="386"/>
      <c r="C688" s="386" t="s">
        <v>269</v>
      </c>
      <c r="D688" s="386"/>
      <c r="E688" s="491"/>
      <c r="F688" s="384"/>
      <c r="G688" s="388">
        <f>MEDIAN(G678:G682)</f>
        <v>70734</v>
      </c>
      <c r="H688" s="388">
        <f t="shared" ref="H688:AY688" si="1053">MEDIAN(H678:H682)</f>
        <v>26863</v>
      </c>
      <c r="I688" s="388">
        <f t="shared" si="1053"/>
        <v>412</v>
      </c>
      <c r="J688" s="388" t="e">
        <f t="shared" si="1053"/>
        <v>#NUM!</v>
      </c>
      <c r="K688" s="388">
        <f t="shared" si="1053"/>
        <v>25887</v>
      </c>
      <c r="L688" s="388">
        <f t="shared" si="1053"/>
        <v>0</v>
      </c>
      <c r="M688" s="388">
        <f t="shared" si="1053"/>
        <v>25826</v>
      </c>
      <c r="N688" s="388">
        <f t="shared" si="1053"/>
        <v>0</v>
      </c>
      <c r="O688" s="388">
        <f t="shared" si="1053"/>
        <v>0</v>
      </c>
      <c r="P688" s="388" t="e">
        <f t="shared" si="1053"/>
        <v>#NUM!</v>
      </c>
      <c r="Q688" s="388" t="e">
        <f t="shared" si="1053"/>
        <v>#NUM!</v>
      </c>
      <c r="R688" s="388" t="e">
        <f t="shared" si="1053"/>
        <v>#NUM!</v>
      </c>
      <c r="S688" s="388">
        <f t="shared" si="1053"/>
        <v>0</v>
      </c>
      <c r="T688" s="388">
        <f t="shared" si="1053"/>
        <v>0</v>
      </c>
      <c r="U688" s="388">
        <f t="shared" si="1053"/>
        <v>0</v>
      </c>
      <c r="V688" s="388">
        <f t="shared" si="1053"/>
        <v>0</v>
      </c>
      <c r="W688" s="388">
        <f t="shared" si="1053"/>
        <v>0</v>
      </c>
      <c r="X688" s="388">
        <f t="shared" si="1053"/>
        <v>0</v>
      </c>
      <c r="Y688" s="388">
        <f t="shared" si="1053"/>
        <v>0</v>
      </c>
      <c r="Z688" s="388">
        <f t="shared" si="1053"/>
        <v>0</v>
      </c>
      <c r="AA688" s="388">
        <f t="shared" si="1053"/>
        <v>0</v>
      </c>
      <c r="AB688" s="388">
        <f t="shared" si="1053"/>
        <v>0</v>
      </c>
      <c r="AC688" s="388">
        <f t="shared" si="1053"/>
        <v>0</v>
      </c>
      <c r="AD688" s="388">
        <f t="shared" si="1053"/>
        <v>0</v>
      </c>
      <c r="AE688" s="388">
        <f t="shared" si="1053"/>
        <v>0</v>
      </c>
      <c r="AF688" s="388">
        <f t="shared" si="1053"/>
        <v>0</v>
      </c>
      <c r="AG688" s="388">
        <f t="shared" si="1053"/>
        <v>0</v>
      </c>
      <c r="AH688" s="388">
        <f t="shared" si="1053"/>
        <v>0</v>
      </c>
      <c r="AI688" s="388">
        <f t="shared" si="1053"/>
        <v>0</v>
      </c>
      <c r="AJ688" s="388">
        <f t="shared" si="1053"/>
        <v>0</v>
      </c>
      <c r="AK688" s="388">
        <f t="shared" si="1053"/>
        <v>0</v>
      </c>
      <c r="AL688" s="388">
        <f t="shared" si="1053"/>
        <v>0</v>
      </c>
      <c r="AM688" s="388">
        <f t="shared" si="1053"/>
        <v>0</v>
      </c>
      <c r="AN688" s="492">
        <f t="shared" si="1053"/>
        <v>0</v>
      </c>
      <c r="AO688" s="388">
        <f t="shared" si="1053"/>
        <v>0</v>
      </c>
      <c r="AP688" s="388">
        <f t="shared" si="1053"/>
        <v>0</v>
      </c>
      <c r="AQ688" s="388">
        <f t="shared" si="1053"/>
        <v>0</v>
      </c>
      <c r="AR688" s="388">
        <f t="shared" si="1053"/>
        <v>0</v>
      </c>
      <c r="AS688" s="388">
        <f t="shared" si="1053"/>
        <v>0</v>
      </c>
      <c r="AT688" s="388">
        <f t="shared" si="1053"/>
        <v>0</v>
      </c>
      <c r="AU688" s="388">
        <f t="shared" si="1053"/>
        <v>0</v>
      </c>
      <c r="AV688" s="388">
        <f t="shared" si="1053"/>
        <v>0</v>
      </c>
      <c r="AW688" s="388">
        <f t="shared" si="1053"/>
        <v>0</v>
      </c>
      <c r="AX688" s="388">
        <f t="shared" si="1053"/>
        <v>0</v>
      </c>
      <c r="AY688" s="388">
        <f t="shared" si="1053"/>
        <v>0</v>
      </c>
    </row>
    <row r="689" spans="1:51" ht="13.5" thickTop="1" x14ac:dyDescent="0.2"/>
    <row r="690" spans="1:51" ht="13.5" thickBot="1" x14ac:dyDescent="0.25">
      <c r="A690" s="400"/>
      <c r="B690" s="403"/>
      <c r="C690" s="402" t="s">
        <v>156</v>
      </c>
      <c r="D690" s="402"/>
      <c r="E690" s="503"/>
    </row>
    <row r="691" spans="1:51" ht="13.5" thickTop="1" x14ac:dyDescent="0.2">
      <c r="A691" s="376">
        <v>11450</v>
      </c>
      <c r="B691" s="378" t="str">
        <f>VLOOKUP($A691,$A$5:$L$133,2,FALSE)</f>
        <v>Camden (A)</v>
      </c>
      <c r="C691" s="377" t="str">
        <f>VLOOKUP($A691,$A$5:$L$133,3,FALSE)</f>
        <v>MACROC</v>
      </c>
      <c r="D691" s="503" t="str">
        <f>VLOOKUP($A691,$A$5:$L$133,4,FALSE)</f>
        <v>S</v>
      </c>
      <c r="E691" s="503"/>
      <c r="F691"/>
      <c r="G691" s="379">
        <f>VLOOKUP($A691,$A$5:$AY$132,7,FALSE)</f>
        <v>77504</v>
      </c>
      <c r="H691" s="379">
        <f>VLOOKUP($A691,$A$5:$AY$132,8,FALSE)</f>
        <v>27740</v>
      </c>
      <c r="I691" s="379">
        <f>VLOOKUP($A691,$A$5:$AY$132,9,FALSE)</f>
        <v>601.29999999999995</v>
      </c>
      <c r="J691" s="379" t="str">
        <f>VLOOKUP($A691,$A$5:$AY$132,10,FALSE)</f>
        <v>Y</v>
      </c>
      <c r="K691" s="379">
        <f>VLOOKUP($A691,$A$5:$AY$132,11,FALSE)</f>
        <v>28399</v>
      </c>
      <c r="L691" s="379">
        <f>VLOOKUP($A691,$A$5:$AY$132,12,FALSE)</f>
        <v>0</v>
      </c>
      <c r="M691" s="379">
        <f>VLOOKUP($A691,$A$4:$AY$132,13,FALSE)</f>
        <v>27763</v>
      </c>
      <c r="N691" s="379">
        <f>VLOOKUP($A691,$A$4:$AY$132,14,FALSE)</f>
        <v>25283</v>
      </c>
      <c r="O691" s="379">
        <f>VLOOKUP($A691,$A$4:$AY$132,15,FALSE)</f>
        <v>0</v>
      </c>
      <c r="P691" s="379" t="str">
        <f>VLOOKUP($A691,$A$4:$AY$132,16,FALSE)</f>
        <v>Y</v>
      </c>
      <c r="Q691" s="379">
        <f>VLOOKUP($A691,$A$4:$AY$132,17,FALSE)</f>
        <v>0</v>
      </c>
      <c r="R691" s="379">
        <f>VLOOKUP($A691,$A$4:$AY$132,18,FALSE)</f>
        <v>0</v>
      </c>
      <c r="S691" s="379">
        <f>VLOOKUP($A691,$A$4:$AY$132,19,FALSE)</f>
        <v>0</v>
      </c>
      <c r="T691" s="379">
        <f>VLOOKUP($A691,$A$4:$AY$132,20,FALSE)</f>
        <v>0</v>
      </c>
      <c r="U691" s="379">
        <f>VLOOKUP($A691,$A$4:$AY$132,21,FALSE)</f>
        <v>0</v>
      </c>
      <c r="V691" s="379">
        <f>VLOOKUP($A691,$A$4:$AY$132,22,FALSE)</f>
        <v>0</v>
      </c>
      <c r="W691" s="379">
        <f>VLOOKUP($A691,$A$4:$AY$132,23,FALSE)</f>
        <v>0</v>
      </c>
      <c r="X691" s="379">
        <f>VLOOKUP($A691,$A$4:$AY$132,24,FALSE)</f>
        <v>0</v>
      </c>
      <c r="Y691" s="379">
        <f>VLOOKUP($A691,$A$4:$AY$132,25,FALSE)</f>
        <v>0</v>
      </c>
      <c r="Z691" s="379">
        <f>VLOOKUP($A691,$A$4:$AY$132,26,FALSE)</f>
        <v>0</v>
      </c>
      <c r="AA691" s="379">
        <f>VLOOKUP($A691,$A$4:$AY$132,27,FALSE)</f>
        <v>0</v>
      </c>
      <c r="AB691" s="379">
        <f>VLOOKUP($A691,$A$4:$AY$132,28,FALSE)</f>
        <v>0</v>
      </c>
      <c r="AC691" s="379">
        <f>VLOOKUP($A691,$A$4:$AY$132,29,FALSE)</f>
        <v>0</v>
      </c>
      <c r="AD691" s="379">
        <f>VLOOKUP($A691,$A$4:$AY$132,30,FALSE)</f>
        <v>0</v>
      </c>
      <c r="AE691" s="379">
        <f>VLOOKUP($A691,$A$4:$AY$132,31,FALSE)</f>
        <v>0</v>
      </c>
      <c r="AF691" s="379">
        <f>VLOOKUP($A691,$A$4:$AY$132,32,FALSE)</f>
        <v>0</v>
      </c>
      <c r="AG691" s="379">
        <f>VLOOKUP($A691,$A$4:$AY$132,33,FALSE)</f>
        <v>0</v>
      </c>
      <c r="AH691" s="379">
        <f>VLOOKUP($A691,$A$4:$AY$132,34,FALSE)</f>
        <v>0</v>
      </c>
      <c r="AI691" s="379">
        <f>VLOOKUP($A691,$A$4:$AY$132,35,FALSE)</f>
        <v>0</v>
      </c>
      <c r="AJ691" s="379">
        <f>VLOOKUP($A691,$A$4:$AY$132,36,FALSE)</f>
        <v>0</v>
      </c>
      <c r="AK691" s="379">
        <f>VLOOKUP($A691,$A$4:$AY$132,37,FALSE)</f>
        <v>0</v>
      </c>
      <c r="AL691" s="379">
        <f>VLOOKUP($A691,$A$4:$AY$132,38,FALSE)</f>
        <v>0</v>
      </c>
      <c r="AM691" s="379">
        <f>VLOOKUP($A691,$A$4:$AY$132,39,FALSE)</f>
        <v>0</v>
      </c>
      <c r="AN691" s="490">
        <f>VLOOKUP($A691,$A$4:$AY$132,40,FALSE)</f>
        <v>0</v>
      </c>
      <c r="AO691" s="379">
        <f>VLOOKUP($A691,$A$4:$AY$132,41,FALSE)</f>
        <v>0</v>
      </c>
      <c r="AP691" s="379">
        <f>VLOOKUP($A691,$A$4:$AY$132,42,FALSE)</f>
        <v>0</v>
      </c>
      <c r="AQ691" s="379">
        <f>VLOOKUP($A691,$A$4:$AY$132,43,FALSE)</f>
        <v>0</v>
      </c>
      <c r="AR691" s="379">
        <f>VLOOKUP($A691,$A$4:$AY$132,44,FALSE)</f>
        <v>0</v>
      </c>
      <c r="AS691" s="379">
        <f>VLOOKUP($A691,$A$4:$AY$132,45,FALSE)</f>
        <v>0</v>
      </c>
      <c r="AT691" s="379">
        <f>VLOOKUP($A691,$A$4:$AY$132,46,FALSE)</f>
        <v>0</v>
      </c>
      <c r="AU691" s="379">
        <f>VLOOKUP($A691,$A$4:$AY$132,47,FALSE)</f>
        <v>0</v>
      </c>
      <c r="AV691" s="379">
        <f>VLOOKUP($A691,$A$4:$AY$132,48,FALSE)</f>
        <v>0</v>
      </c>
      <c r="AW691" s="379">
        <f>VLOOKUP($A691,$A$4:$AY$132,49,FALSE)</f>
        <v>0</v>
      </c>
      <c r="AX691" s="379">
        <f>VLOOKUP($A691,$A$4:$AY$132,50,FALSE)</f>
        <v>0</v>
      </c>
      <c r="AY691" s="379">
        <f>VLOOKUP($A691,$A$4:$AY$132,51,FALSE)</f>
        <v>0</v>
      </c>
    </row>
    <row r="692" spans="1:51" x14ac:dyDescent="0.2">
      <c r="A692" s="376">
        <v>11500</v>
      </c>
      <c r="B692" s="378" t="str">
        <f>VLOOKUP($A692,$A$5:$L$133,2,FALSE)</f>
        <v>Campbelltown (C) (NSW)</v>
      </c>
      <c r="C692" s="377" t="str">
        <f>VLOOKUP($A692,$A$5:$L$133,3,FALSE)</f>
        <v>MACROC</v>
      </c>
      <c r="D692" s="503" t="str">
        <f>VLOOKUP($A692,$A$5:$L$133,4,FALSE)</f>
        <v>S</v>
      </c>
      <c r="E692" s="503"/>
      <c r="F692"/>
      <c r="G692" s="379">
        <f>VLOOKUP($A692,$A$5:$AY$132,7,FALSE)</f>
        <v>161998</v>
      </c>
      <c r="H692" s="379">
        <f>VLOOKUP($A692,$A$5:$AY$132,8,FALSE)</f>
        <v>56521</v>
      </c>
      <c r="I692" s="379">
        <f>VLOOKUP($A692,$A$5:$AY$132,9,FALSE)</f>
        <v>329.3</v>
      </c>
      <c r="J692" s="379" t="str">
        <f>VLOOKUP($A692,$A$5:$AY$132,10,FALSE)</f>
        <v>Y</v>
      </c>
      <c r="K692" s="379">
        <f>VLOOKUP($A692,$A$5:$AY$132,11,FALSE)</f>
        <v>54581</v>
      </c>
      <c r="L692" s="379">
        <f>VLOOKUP($A692,$A$5:$AY$132,12,FALSE)</f>
        <v>0</v>
      </c>
      <c r="M692" s="379">
        <f>VLOOKUP($A692,$A$4:$AY$132,13,FALSE)</f>
        <v>54581</v>
      </c>
      <c r="N692" s="379">
        <f>VLOOKUP($A692,$A$4:$AY$132,14,FALSE)</f>
        <v>54380</v>
      </c>
      <c r="O692" s="379">
        <f>VLOOKUP($A692,$A$4:$AY$132,15,FALSE)</f>
        <v>0</v>
      </c>
      <c r="P692" s="379" t="str">
        <f>VLOOKUP($A692,$A$4:$AY$132,16,FALSE)</f>
        <v>Y</v>
      </c>
      <c r="Q692" s="379">
        <f>VLOOKUP($A692,$A$4:$AY$132,17,FALSE)</f>
        <v>0</v>
      </c>
      <c r="R692" s="379">
        <f>VLOOKUP($A692,$A$4:$AY$132,18,FALSE)</f>
        <v>0</v>
      </c>
      <c r="S692" s="379">
        <f>VLOOKUP($A692,$A$4:$AY$132,19,FALSE)</f>
        <v>0</v>
      </c>
      <c r="T692" s="379">
        <f>VLOOKUP($A692,$A$4:$AY$132,20,FALSE)</f>
        <v>0</v>
      </c>
      <c r="U692" s="379">
        <f>VLOOKUP($A692,$A$4:$AY$132,21,FALSE)</f>
        <v>0</v>
      </c>
      <c r="V692" s="379">
        <f>VLOOKUP($A692,$A$4:$AY$132,22,FALSE)</f>
        <v>0</v>
      </c>
      <c r="W692" s="379">
        <f>VLOOKUP($A692,$A$4:$AY$132,23,FALSE)</f>
        <v>0</v>
      </c>
      <c r="X692" s="379">
        <f>VLOOKUP($A692,$A$4:$AY$132,24,FALSE)</f>
        <v>0</v>
      </c>
      <c r="Y692" s="379">
        <f>VLOOKUP($A692,$A$4:$AY$132,25,FALSE)</f>
        <v>0</v>
      </c>
      <c r="Z692" s="379">
        <f>VLOOKUP($A692,$A$4:$AY$132,26,FALSE)</f>
        <v>0</v>
      </c>
      <c r="AA692" s="379">
        <f>VLOOKUP($A692,$A$4:$AY$132,27,FALSE)</f>
        <v>0</v>
      </c>
      <c r="AB692" s="379">
        <f>VLOOKUP($A692,$A$4:$AY$132,28,FALSE)</f>
        <v>0</v>
      </c>
      <c r="AC692" s="379">
        <f>VLOOKUP($A692,$A$4:$AY$132,29,FALSE)</f>
        <v>0</v>
      </c>
      <c r="AD692" s="379">
        <f>VLOOKUP($A692,$A$4:$AY$132,30,FALSE)</f>
        <v>0</v>
      </c>
      <c r="AE692" s="379">
        <f>VLOOKUP($A692,$A$4:$AY$132,31,FALSE)</f>
        <v>0</v>
      </c>
      <c r="AF692" s="379">
        <f>VLOOKUP($A692,$A$4:$AY$132,32,FALSE)</f>
        <v>0</v>
      </c>
      <c r="AG692" s="379">
        <f>VLOOKUP($A692,$A$4:$AY$132,33,FALSE)</f>
        <v>0</v>
      </c>
      <c r="AH692" s="379">
        <f>VLOOKUP($A692,$A$4:$AY$132,34,FALSE)</f>
        <v>0</v>
      </c>
      <c r="AI692" s="379">
        <f>VLOOKUP($A692,$A$4:$AY$132,35,FALSE)</f>
        <v>0</v>
      </c>
      <c r="AJ692" s="379">
        <f>VLOOKUP($A692,$A$4:$AY$132,36,FALSE)</f>
        <v>0</v>
      </c>
      <c r="AK692" s="379">
        <f>VLOOKUP($A692,$A$4:$AY$132,37,FALSE)</f>
        <v>0</v>
      </c>
      <c r="AL692" s="379">
        <f>VLOOKUP($A692,$A$4:$AY$132,38,FALSE)</f>
        <v>0</v>
      </c>
      <c r="AM692" s="379">
        <f>VLOOKUP($A692,$A$4:$AY$132,39,FALSE)</f>
        <v>0</v>
      </c>
      <c r="AN692" s="490">
        <f>VLOOKUP($A692,$A$4:$AY$132,40,FALSE)</f>
        <v>0</v>
      </c>
      <c r="AO692" s="379">
        <f>VLOOKUP($A692,$A$4:$AY$132,41,FALSE)</f>
        <v>0</v>
      </c>
      <c r="AP692" s="379">
        <f>VLOOKUP($A692,$A$4:$AY$132,42,FALSE)</f>
        <v>0</v>
      </c>
      <c r="AQ692" s="379">
        <f>VLOOKUP($A692,$A$4:$AY$132,43,FALSE)</f>
        <v>0</v>
      </c>
      <c r="AR692" s="379">
        <f>VLOOKUP($A692,$A$4:$AY$132,44,FALSE)</f>
        <v>0</v>
      </c>
      <c r="AS692" s="379">
        <f>VLOOKUP($A692,$A$4:$AY$132,45,FALSE)</f>
        <v>0</v>
      </c>
      <c r="AT692" s="379">
        <f>VLOOKUP($A692,$A$4:$AY$132,46,FALSE)</f>
        <v>0</v>
      </c>
      <c r="AU692" s="379">
        <f>VLOOKUP($A692,$A$4:$AY$132,47,FALSE)</f>
        <v>0</v>
      </c>
      <c r="AV692" s="379">
        <f>VLOOKUP($A692,$A$4:$AY$132,48,FALSE)</f>
        <v>0</v>
      </c>
      <c r="AW692" s="379">
        <f>VLOOKUP($A692,$A$4:$AY$132,49,FALSE)</f>
        <v>0</v>
      </c>
      <c r="AX692" s="379">
        <f>VLOOKUP($A692,$A$4:$AY$132,50,FALSE)</f>
        <v>0</v>
      </c>
      <c r="AY692" s="379">
        <f>VLOOKUP($A692,$A$4:$AY$132,51,FALSE)</f>
        <v>0</v>
      </c>
    </row>
    <row r="693" spans="1:51" ht="13.5" thickBot="1" x14ac:dyDescent="0.25">
      <c r="A693" s="376">
        <v>18400</v>
      </c>
      <c r="B693" s="378" t="str">
        <f>VLOOKUP($A693,$A$5:$L$133,2,FALSE)</f>
        <v>Wollondilly (A)</v>
      </c>
      <c r="C693" s="377" t="str">
        <f>VLOOKUP($A693,$A$5:$L$133,3,FALSE)</f>
        <v>MACROC</v>
      </c>
      <c r="D693" s="503" t="str">
        <f>VLOOKUP($A693,$A$5:$L$133,4,FALSE)</f>
        <v>R</v>
      </c>
      <c r="E693" s="503"/>
      <c r="F693"/>
      <c r="G693" s="379">
        <f>VLOOKUP($A693,$A$5:$AY$132,7,FALSE)</f>
        <v>49109</v>
      </c>
      <c r="H693" s="379">
        <f>VLOOKUP($A693,$A$5:$AY$132,8,FALSE)</f>
        <v>16957</v>
      </c>
      <c r="I693" s="379">
        <f>VLOOKUP($A693,$A$5:$AY$132,9,FALSE)</f>
        <v>513</v>
      </c>
      <c r="J693" s="379" t="str">
        <f>VLOOKUP($A693,$A$5:$AY$132,10,FALSE)</f>
        <v>Y</v>
      </c>
      <c r="K693" s="379">
        <f>VLOOKUP($A693,$A$5:$AY$132,11,FALSE)</f>
        <v>17219</v>
      </c>
      <c r="L693" s="379">
        <f>VLOOKUP($A693,$A$5:$AY$132,12,FALSE)</f>
        <v>0</v>
      </c>
      <c r="M693" s="379">
        <f>VLOOKUP($A693,$A$4:$AY$132,13,FALSE)</f>
        <v>17056</v>
      </c>
      <c r="N693" s="379">
        <f>VLOOKUP($A693,$A$4:$AY$132,14,FALSE)</f>
        <v>11869</v>
      </c>
      <c r="O693" s="379">
        <f>VLOOKUP($A693,$A$4:$AY$132,15,FALSE)</f>
        <v>0</v>
      </c>
      <c r="P693" s="379" t="str">
        <f>VLOOKUP($A693,$A$4:$AY$132,16,FALSE)</f>
        <v>Y</v>
      </c>
      <c r="Q693" s="379" t="str">
        <f>VLOOKUP($A693,$A$4:$AY$132,17,FALSE)</f>
        <v>Y</v>
      </c>
      <c r="R693" s="379" t="str">
        <f>VLOOKUP($A693,$A$4:$AY$132,18,FALSE)</f>
        <v>Bargo Waste Management Centre</v>
      </c>
      <c r="S693" s="379">
        <f>VLOOKUP($A693,$A$4:$AY$132,19,FALSE)</f>
        <v>0</v>
      </c>
      <c r="T693" s="379">
        <f>VLOOKUP($A693,$A$4:$AY$132,20,FALSE)</f>
        <v>0</v>
      </c>
      <c r="U693" s="379">
        <f>VLOOKUP($A693,$A$4:$AY$132,21,FALSE)</f>
        <v>0</v>
      </c>
      <c r="V693" s="379">
        <f>VLOOKUP($A693,$A$4:$AY$132,22,FALSE)</f>
        <v>0</v>
      </c>
      <c r="W693" s="379">
        <f>VLOOKUP($A693,$A$4:$AY$132,23,FALSE)</f>
        <v>0</v>
      </c>
      <c r="X693" s="379">
        <f>VLOOKUP($A693,$A$4:$AY$132,24,FALSE)</f>
        <v>0</v>
      </c>
      <c r="Y693" s="379">
        <f>VLOOKUP($A693,$A$4:$AY$132,25,FALSE)</f>
        <v>0</v>
      </c>
      <c r="Z693" s="379">
        <f>VLOOKUP($A693,$A$4:$AY$132,26,FALSE)</f>
        <v>0</v>
      </c>
      <c r="AA693" s="379">
        <f>VLOOKUP($A693,$A$4:$AY$132,27,FALSE)</f>
        <v>0</v>
      </c>
      <c r="AB693" s="379">
        <f>VLOOKUP($A693,$A$4:$AY$132,28,FALSE)</f>
        <v>0</v>
      </c>
      <c r="AC693" s="379">
        <f>VLOOKUP($A693,$A$4:$AY$132,29,FALSE)</f>
        <v>0</v>
      </c>
      <c r="AD693" s="379">
        <f>VLOOKUP($A693,$A$4:$AY$132,30,FALSE)</f>
        <v>0</v>
      </c>
      <c r="AE693" s="379">
        <f>VLOOKUP($A693,$A$4:$AY$132,31,FALSE)</f>
        <v>0</v>
      </c>
      <c r="AF693" s="379">
        <f>VLOOKUP($A693,$A$4:$AY$132,32,FALSE)</f>
        <v>0</v>
      </c>
      <c r="AG693" s="379">
        <f>VLOOKUP($A693,$A$4:$AY$132,33,FALSE)</f>
        <v>0</v>
      </c>
      <c r="AH693" s="379">
        <f>VLOOKUP($A693,$A$4:$AY$132,34,FALSE)</f>
        <v>0</v>
      </c>
      <c r="AI693" s="379">
        <f>VLOOKUP($A693,$A$4:$AY$132,35,FALSE)</f>
        <v>0</v>
      </c>
      <c r="AJ693" s="379">
        <f>VLOOKUP($A693,$A$4:$AY$132,36,FALSE)</f>
        <v>0</v>
      </c>
      <c r="AK693" s="379">
        <f>VLOOKUP($A693,$A$4:$AY$132,37,FALSE)</f>
        <v>0</v>
      </c>
      <c r="AL693" s="379">
        <f>VLOOKUP($A693,$A$4:$AY$132,38,FALSE)</f>
        <v>0</v>
      </c>
      <c r="AM693" s="379">
        <f>VLOOKUP($A693,$A$4:$AY$132,39,FALSE)</f>
        <v>0</v>
      </c>
      <c r="AN693" s="490">
        <f>VLOOKUP($A693,$A$4:$AY$132,40,FALSE)</f>
        <v>0</v>
      </c>
      <c r="AO693" s="379">
        <f>VLOOKUP($A693,$A$4:$AY$132,41,FALSE)</f>
        <v>0</v>
      </c>
      <c r="AP693" s="379">
        <f>VLOOKUP($A693,$A$4:$AY$132,42,FALSE)</f>
        <v>0</v>
      </c>
      <c r="AQ693" s="379">
        <f>VLOOKUP($A693,$A$4:$AY$132,43,FALSE)</f>
        <v>0</v>
      </c>
      <c r="AR693" s="379">
        <f>VLOOKUP($A693,$A$4:$AY$132,44,FALSE)</f>
        <v>0</v>
      </c>
      <c r="AS693" s="379">
        <f>VLOOKUP($A693,$A$4:$AY$132,45,FALSE)</f>
        <v>0</v>
      </c>
      <c r="AT693" s="379">
        <f>VLOOKUP($A693,$A$4:$AY$132,46,FALSE)</f>
        <v>0</v>
      </c>
      <c r="AU693" s="379">
        <f>VLOOKUP($A693,$A$4:$AY$132,47,FALSE)</f>
        <v>0</v>
      </c>
      <c r="AV693" s="379">
        <f>VLOOKUP($A693,$A$4:$AY$132,48,FALSE)</f>
        <v>0</v>
      </c>
      <c r="AW693" s="379">
        <f>VLOOKUP($A693,$A$4:$AY$132,49,FALSE)</f>
        <v>0</v>
      </c>
      <c r="AX693" s="379">
        <f>VLOOKUP($A693,$A$4:$AY$132,50,FALSE)</f>
        <v>0</v>
      </c>
      <c r="AY693" s="379">
        <f>VLOOKUP($A693,$A$4:$AY$132,51,FALSE)</f>
        <v>0</v>
      </c>
    </row>
    <row r="694" spans="1:51" ht="13.5" thickTop="1" x14ac:dyDescent="0.2">
      <c r="A694" s="380"/>
      <c r="B694" s="380"/>
      <c r="C694" s="380" t="s">
        <v>264</v>
      </c>
      <c r="D694" s="380"/>
      <c r="E694" s="484"/>
      <c r="F694" s="381"/>
      <c r="G694" s="382">
        <f>COUNTIF(G691:G693,"&gt;0")</f>
        <v>3</v>
      </c>
      <c r="H694" s="382">
        <f t="shared" ref="H694:AY694" si="1054">COUNTIF(H691:H693,"&gt;0")</f>
        <v>3</v>
      </c>
      <c r="I694" s="382">
        <f t="shared" si="1054"/>
        <v>3</v>
      </c>
      <c r="J694" s="382">
        <f t="shared" si="1054"/>
        <v>0</v>
      </c>
      <c r="K694" s="382">
        <f t="shared" si="1054"/>
        <v>3</v>
      </c>
      <c r="L694" s="382">
        <f t="shared" si="1054"/>
        <v>0</v>
      </c>
      <c r="M694" s="382">
        <f t="shared" si="1054"/>
        <v>3</v>
      </c>
      <c r="N694" s="382">
        <f t="shared" si="1054"/>
        <v>3</v>
      </c>
      <c r="O694" s="382">
        <f t="shared" si="1054"/>
        <v>0</v>
      </c>
      <c r="P694" s="382">
        <f t="shared" si="1054"/>
        <v>0</v>
      </c>
      <c r="Q694" s="382">
        <f t="shared" si="1054"/>
        <v>0</v>
      </c>
      <c r="R694" s="382">
        <f t="shared" si="1054"/>
        <v>0</v>
      </c>
      <c r="S694" s="382">
        <f t="shared" si="1054"/>
        <v>0</v>
      </c>
      <c r="T694" s="382">
        <f t="shared" si="1054"/>
        <v>0</v>
      </c>
      <c r="U694" s="382">
        <f t="shared" si="1054"/>
        <v>0</v>
      </c>
      <c r="V694" s="382">
        <f t="shared" si="1054"/>
        <v>0</v>
      </c>
      <c r="W694" s="382">
        <f t="shared" si="1054"/>
        <v>0</v>
      </c>
      <c r="X694" s="382">
        <f t="shared" si="1054"/>
        <v>0</v>
      </c>
      <c r="Y694" s="382">
        <f t="shared" si="1054"/>
        <v>0</v>
      </c>
      <c r="Z694" s="382">
        <f t="shared" si="1054"/>
        <v>0</v>
      </c>
      <c r="AA694" s="382">
        <f t="shared" si="1054"/>
        <v>0</v>
      </c>
      <c r="AB694" s="382">
        <f t="shared" si="1054"/>
        <v>0</v>
      </c>
      <c r="AC694" s="382">
        <f t="shared" si="1054"/>
        <v>0</v>
      </c>
      <c r="AD694" s="382">
        <f t="shared" si="1054"/>
        <v>0</v>
      </c>
      <c r="AE694" s="382">
        <f t="shared" si="1054"/>
        <v>0</v>
      </c>
      <c r="AF694" s="382">
        <f t="shared" si="1054"/>
        <v>0</v>
      </c>
      <c r="AG694" s="382">
        <f t="shared" si="1054"/>
        <v>0</v>
      </c>
      <c r="AH694" s="382">
        <f t="shared" si="1054"/>
        <v>0</v>
      </c>
      <c r="AI694" s="382">
        <f t="shared" si="1054"/>
        <v>0</v>
      </c>
      <c r="AJ694" s="382">
        <f t="shared" si="1054"/>
        <v>0</v>
      </c>
      <c r="AK694" s="382">
        <f t="shared" si="1054"/>
        <v>0</v>
      </c>
      <c r="AL694" s="382">
        <f t="shared" si="1054"/>
        <v>0</v>
      </c>
      <c r="AM694" s="382">
        <f t="shared" si="1054"/>
        <v>0</v>
      </c>
      <c r="AN694" s="485">
        <f t="shared" si="1054"/>
        <v>0</v>
      </c>
      <c r="AO694" s="382">
        <f t="shared" si="1054"/>
        <v>0</v>
      </c>
      <c r="AP694" s="382">
        <f t="shared" si="1054"/>
        <v>0</v>
      </c>
      <c r="AQ694" s="382">
        <f t="shared" si="1054"/>
        <v>0</v>
      </c>
      <c r="AR694" s="382">
        <f t="shared" si="1054"/>
        <v>0</v>
      </c>
      <c r="AS694" s="382">
        <f t="shared" si="1054"/>
        <v>0</v>
      </c>
      <c r="AT694" s="382">
        <f t="shared" si="1054"/>
        <v>0</v>
      </c>
      <c r="AU694" s="382">
        <f t="shared" si="1054"/>
        <v>0</v>
      </c>
      <c r="AV694" s="382">
        <f t="shared" si="1054"/>
        <v>0</v>
      </c>
      <c r="AW694" s="382">
        <f t="shared" si="1054"/>
        <v>0</v>
      </c>
      <c r="AX694" s="382">
        <f t="shared" si="1054"/>
        <v>0</v>
      </c>
      <c r="AY694" s="382">
        <f t="shared" si="1054"/>
        <v>0</v>
      </c>
    </row>
    <row r="695" spans="1:51" x14ac:dyDescent="0.2">
      <c r="A695" s="376"/>
      <c r="B695" s="376"/>
      <c r="C695" s="376" t="s">
        <v>265</v>
      </c>
      <c r="D695" s="376"/>
      <c r="E695" s="488"/>
      <c r="F695" s="384"/>
      <c r="G695" s="385">
        <f>SUM(G691:G693)</f>
        <v>288611</v>
      </c>
      <c r="H695" s="385">
        <f t="shared" ref="H695:AY695" si="1055">SUM(H691:H693)</f>
        <v>101218</v>
      </c>
      <c r="I695" s="385">
        <f t="shared" si="1055"/>
        <v>1443.6</v>
      </c>
      <c r="J695" s="385">
        <f t="shared" si="1055"/>
        <v>0</v>
      </c>
      <c r="K695" s="385">
        <f t="shared" si="1055"/>
        <v>100199</v>
      </c>
      <c r="L695" s="385">
        <f t="shared" si="1055"/>
        <v>0</v>
      </c>
      <c r="M695" s="385">
        <f t="shared" si="1055"/>
        <v>99400</v>
      </c>
      <c r="N695" s="385">
        <f t="shared" si="1055"/>
        <v>91532</v>
      </c>
      <c r="O695" s="385">
        <f t="shared" si="1055"/>
        <v>0</v>
      </c>
      <c r="P695" s="385">
        <f t="shared" si="1055"/>
        <v>0</v>
      </c>
      <c r="Q695" s="385">
        <f t="shared" si="1055"/>
        <v>0</v>
      </c>
      <c r="R695" s="385">
        <f t="shared" si="1055"/>
        <v>0</v>
      </c>
      <c r="S695" s="385">
        <f t="shared" si="1055"/>
        <v>0</v>
      </c>
      <c r="T695" s="385">
        <f t="shared" si="1055"/>
        <v>0</v>
      </c>
      <c r="U695" s="385">
        <f t="shared" si="1055"/>
        <v>0</v>
      </c>
      <c r="V695" s="385">
        <f t="shared" si="1055"/>
        <v>0</v>
      </c>
      <c r="W695" s="385">
        <f t="shared" si="1055"/>
        <v>0</v>
      </c>
      <c r="X695" s="385">
        <f t="shared" si="1055"/>
        <v>0</v>
      </c>
      <c r="Y695" s="385">
        <f t="shared" si="1055"/>
        <v>0</v>
      </c>
      <c r="Z695" s="385">
        <f t="shared" si="1055"/>
        <v>0</v>
      </c>
      <c r="AA695" s="385">
        <f t="shared" si="1055"/>
        <v>0</v>
      </c>
      <c r="AB695" s="385">
        <f t="shared" si="1055"/>
        <v>0</v>
      </c>
      <c r="AC695" s="385">
        <f t="shared" si="1055"/>
        <v>0</v>
      </c>
      <c r="AD695" s="385">
        <f t="shared" si="1055"/>
        <v>0</v>
      </c>
      <c r="AE695" s="385">
        <f t="shared" si="1055"/>
        <v>0</v>
      </c>
      <c r="AF695" s="385">
        <f t="shared" si="1055"/>
        <v>0</v>
      </c>
      <c r="AG695" s="385">
        <f t="shared" si="1055"/>
        <v>0</v>
      </c>
      <c r="AH695" s="385">
        <f t="shared" si="1055"/>
        <v>0</v>
      </c>
      <c r="AI695" s="385">
        <f t="shared" si="1055"/>
        <v>0</v>
      </c>
      <c r="AJ695" s="385">
        <f t="shared" si="1055"/>
        <v>0</v>
      </c>
      <c r="AK695" s="385">
        <f t="shared" si="1055"/>
        <v>0</v>
      </c>
      <c r="AL695" s="385">
        <f t="shared" si="1055"/>
        <v>0</v>
      </c>
      <c r="AM695" s="385">
        <f t="shared" si="1055"/>
        <v>0</v>
      </c>
      <c r="AN695" s="489">
        <f t="shared" si="1055"/>
        <v>0</v>
      </c>
      <c r="AO695" s="385">
        <f t="shared" si="1055"/>
        <v>0</v>
      </c>
      <c r="AP695" s="385">
        <f t="shared" si="1055"/>
        <v>0</v>
      </c>
      <c r="AQ695" s="385">
        <f t="shared" si="1055"/>
        <v>0</v>
      </c>
      <c r="AR695" s="385">
        <f t="shared" si="1055"/>
        <v>0</v>
      </c>
      <c r="AS695" s="385">
        <f t="shared" si="1055"/>
        <v>0</v>
      </c>
      <c r="AT695" s="385">
        <f t="shared" si="1055"/>
        <v>0</v>
      </c>
      <c r="AU695" s="385">
        <f t="shared" si="1055"/>
        <v>0</v>
      </c>
      <c r="AV695" s="385">
        <f t="shared" si="1055"/>
        <v>0</v>
      </c>
      <c r="AW695" s="385">
        <f t="shared" si="1055"/>
        <v>0</v>
      </c>
      <c r="AX695" s="385">
        <f t="shared" si="1055"/>
        <v>0</v>
      </c>
      <c r="AY695" s="385">
        <f t="shared" si="1055"/>
        <v>0</v>
      </c>
    </row>
    <row r="696" spans="1:51" x14ac:dyDescent="0.2">
      <c r="A696" s="376"/>
      <c r="B696" s="376"/>
      <c r="C696" s="376" t="s">
        <v>266</v>
      </c>
      <c r="D696" s="376"/>
      <c r="E696" s="488"/>
      <c r="F696" s="384"/>
      <c r="G696" s="379">
        <f>MIN(G691:G693)</f>
        <v>49109</v>
      </c>
      <c r="H696" s="379">
        <f t="shared" ref="H696:AY696" si="1056">MIN(H691:H693)</f>
        <v>16957</v>
      </c>
      <c r="I696" s="379">
        <f t="shared" si="1056"/>
        <v>329.3</v>
      </c>
      <c r="J696" s="379">
        <f t="shared" si="1056"/>
        <v>0</v>
      </c>
      <c r="K696" s="379">
        <f t="shared" si="1056"/>
        <v>17219</v>
      </c>
      <c r="L696" s="379">
        <f t="shared" si="1056"/>
        <v>0</v>
      </c>
      <c r="M696" s="379">
        <f t="shared" si="1056"/>
        <v>17056</v>
      </c>
      <c r="N696" s="379">
        <f t="shared" si="1056"/>
        <v>11869</v>
      </c>
      <c r="O696" s="379">
        <f t="shared" si="1056"/>
        <v>0</v>
      </c>
      <c r="P696" s="379">
        <f t="shared" si="1056"/>
        <v>0</v>
      </c>
      <c r="Q696" s="379">
        <f t="shared" si="1056"/>
        <v>0</v>
      </c>
      <c r="R696" s="379">
        <f t="shared" si="1056"/>
        <v>0</v>
      </c>
      <c r="S696" s="379">
        <f t="shared" si="1056"/>
        <v>0</v>
      </c>
      <c r="T696" s="379">
        <f t="shared" si="1056"/>
        <v>0</v>
      </c>
      <c r="U696" s="379">
        <f t="shared" si="1056"/>
        <v>0</v>
      </c>
      <c r="V696" s="379">
        <f t="shared" si="1056"/>
        <v>0</v>
      </c>
      <c r="W696" s="379">
        <f t="shared" si="1056"/>
        <v>0</v>
      </c>
      <c r="X696" s="379">
        <f t="shared" si="1056"/>
        <v>0</v>
      </c>
      <c r="Y696" s="379">
        <f t="shared" si="1056"/>
        <v>0</v>
      </c>
      <c r="Z696" s="379">
        <f t="shared" si="1056"/>
        <v>0</v>
      </c>
      <c r="AA696" s="379">
        <f t="shared" si="1056"/>
        <v>0</v>
      </c>
      <c r="AB696" s="379">
        <f t="shared" si="1056"/>
        <v>0</v>
      </c>
      <c r="AC696" s="379">
        <f t="shared" si="1056"/>
        <v>0</v>
      </c>
      <c r="AD696" s="379">
        <f t="shared" si="1056"/>
        <v>0</v>
      </c>
      <c r="AE696" s="379">
        <f t="shared" si="1056"/>
        <v>0</v>
      </c>
      <c r="AF696" s="379">
        <f t="shared" si="1056"/>
        <v>0</v>
      </c>
      <c r="AG696" s="379">
        <f t="shared" si="1056"/>
        <v>0</v>
      </c>
      <c r="AH696" s="379">
        <f t="shared" si="1056"/>
        <v>0</v>
      </c>
      <c r="AI696" s="379">
        <f t="shared" si="1056"/>
        <v>0</v>
      </c>
      <c r="AJ696" s="379">
        <f t="shared" si="1056"/>
        <v>0</v>
      </c>
      <c r="AK696" s="379">
        <f t="shared" si="1056"/>
        <v>0</v>
      </c>
      <c r="AL696" s="379">
        <f t="shared" si="1056"/>
        <v>0</v>
      </c>
      <c r="AM696" s="379">
        <f t="shared" si="1056"/>
        <v>0</v>
      </c>
      <c r="AN696" s="490">
        <f t="shared" si="1056"/>
        <v>0</v>
      </c>
      <c r="AO696" s="379">
        <f t="shared" si="1056"/>
        <v>0</v>
      </c>
      <c r="AP696" s="379">
        <f t="shared" si="1056"/>
        <v>0</v>
      </c>
      <c r="AQ696" s="379">
        <f t="shared" si="1056"/>
        <v>0</v>
      </c>
      <c r="AR696" s="379">
        <f t="shared" si="1056"/>
        <v>0</v>
      </c>
      <c r="AS696" s="379">
        <f t="shared" si="1056"/>
        <v>0</v>
      </c>
      <c r="AT696" s="379">
        <f t="shared" si="1056"/>
        <v>0</v>
      </c>
      <c r="AU696" s="379">
        <f t="shared" si="1056"/>
        <v>0</v>
      </c>
      <c r="AV696" s="379">
        <f t="shared" si="1056"/>
        <v>0</v>
      </c>
      <c r="AW696" s="379">
        <f t="shared" si="1056"/>
        <v>0</v>
      </c>
      <c r="AX696" s="379">
        <f t="shared" si="1056"/>
        <v>0</v>
      </c>
      <c r="AY696" s="379">
        <f t="shared" si="1056"/>
        <v>0</v>
      </c>
    </row>
    <row r="697" spans="1:51" x14ac:dyDescent="0.2">
      <c r="A697" s="376"/>
      <c r="B697" s="376"/>
      <c r="C697" s="376" t="s">
        <v>267</v>
      </c>
      <c r="D697" s="376"/>
      <c r="E697" s="488"/>
      <c r="F697" s="384"/>
      <c r="G697" s="379">
        <f>MAX(G691:G693)</f>
        <v>161998</v>
      </c>
      <c r="H697" s="379">
        <f t="shared" ref="H697:AY697" si="1057">MAX(H691:H693)</f>
        <v>56521</v>
      </c>
      <c r="I697" s="379">
        <f t="shared" si="1057"/>
        <v>601.29999999999995</v>
      </c>
      <c r="J697" s="379">
        <f t="shared" si="1057"/>
        <v>0</v>
      </c>
      <c r="K697" s="379">
        <f t="shared" si="1057"/>
        <v>54581</v>
      </c>
      <c r="L697" s="379">
        <f t="shared" si="1057"/>
        <v>0</v>
      </c>
      <c r="M697" s="379">
        <f t="shared" si="1057"/>
        <v>54581</v>
      </c>
      <c r="N697" s="379">
        <f t="shared" si="1057"/>
        <v>54380</v>
      </c>
      <c r="O697" s="379">
        <f t="shared" si="1057"/>
        <v>0</v>
      </c>
      <c r="P697" s="379">
        <f t="shared" si="1057"/>
        <v>0</v>
      </c>
      <c r="Q697" s="379">
        <f t="shared" si="1057"/>
        <v>0</v>
      </c>
      <c r="R697" s="379">
        <f t="shared" si="1057"/>
        <v>0</v>
      </c>
      <c r="S697" s="379">
        <f t="shared" si="1057"/>
        <v>0</v>
      </c>
      <c r="T697" s="379">
        <f t="shared" si="1057"/>
        <v>0</v>
      </c>
      <c r="U697" s="379">
        <f t="shared" si="1057"/>
        <v>0</v>
      </c>
      <c r="V697" s="379">
        <f t="shared" si="1057"/>
        <v>0</v>
      </c>
      <c r="W697" s="379">
        <f t="shared" si="1057"/>
        <v>0</v>
      </c>
      <c r="X697" s="379">
        <f t="shared" si="1057"/>
        <v>0</v>
      </c>
      <c r="Y697" s="379">
        <f t="shared" si="1057"/>
        <v>0</v>
      </c>
      <c r="Z697" s="379">
        <f t="shared" si="1057"/>
        <v>0</v>
      </c>
      <c r="AA697" s="379">
        <f t="shared" si="1057"/>
        <v>0</v>
      </c>
      <c r="AB697" s="379">
        <f t="shared" si="1057"/>
        <v>0</v>
      </c>
      <c r="AC697" s="379">
        <f t="shared" si="1057"/>
        <v>0</v>
      </c>
      <c r="AD697" s="379">
        <f t="shared" si="1057"/>
        <v>0</v>
      </c>
      <c r="AE697" s="379">
        <f t="shared" si="1057"/>
        <v>0</v>
      </c>
      <c r="AF697" s="379">
        <f t="shared" si="1057"/>
        <v>0</v>
      </c>
      <c r="AG697" s="379">
        <f t="shared" si="1057"/>
        <v>0</v>
      </c>
      <c r="AH697" s="379">
        <f t="shared" si="1057"/>
        <v>0</v>
      </c>
      <c r="AI697" s="379">
        <f t="shared" si="1057"/>
        <v>0</v>
      </c>
      <c r="AJ697" s="379">
        <f t="shared" si="1057"/>
        <v>0</v>
      </c>
      <c r="AK697" s="379">
        <f t="shared" si="1057"/>
        <v>0</v>
      </c>
      <c r="AL697" s="379">
        <f t="shared" si="1057"/>
        <v>0</v>
      </c>
      <c r="AM697" s="379">
        <f t="shared" si="1057"/>
        <v>0</v>
      </c>
      <c r="AN697" s="490">
        <f t="shared" si="1057"/>
        <v>0</v>
      </c>
      <c r="AO697" s="379">
        <f t="shared" si="1057"/>
        <v>0</v>
      </c>
      <c r="AP697" s="379">
        <f t="shared" si="1057"/>
        <v>0</v>
      </c>
      <c r="AQ697" s="379">
        <f t="shared" si="1057"/>
        <v>0</v>
      </c>
      <c r="AR697" s="379">
        <f t="shared" si="1057"/>
        <v>0</v>
      </c>
      <c r="AS697" s="379">
        <f t="shared" si="1057"/>
        <v>0</v>
      </c>
      <c r="AT697" s="379">
        <f t="shared" si="1057"/>
        <v>0</v>
      </c>
      <c r="AU697" s="379">
        <f t="shared" si="1057"/>
        <v>0</v>
      </c>
      <c r="AV697" s="379">
        <f t="shared" si="1057"/>
        <v>0</v>
      </c>
      <c r="AW697" s="379">
        <f t="shared" si="1057"/>
        <v>0</v>
      </c>
      <c r="AX697" s="379">
        <f t="shared" si="1057"/>
        <v>0</v>
      </c>
      <c r="AY697" s="379">
        <f t="shared" si="1057"/>
        <v>0</v>
      </c>
    </row>
    <row r="698" spans="1:51" x14ac:dyDescent="0.2">
      <c r="A698" s="376"/>
      <c r="B698" s="376"/>
      <c r="C698" s="376" t="s">
        <v>268</v>
      </c>
      <c r="D698" s="376"/>
      <c r="E698" s="488"/>
      <c r="F698" s="384"/>
      <c r="G698" s="379">
        <f>AVERAGE(G691:G693)</f>
        <v>96203.666666666672</v>
      </c>
      <c r="H698" s="379">
        <f t="shared" ref="H698:AY698" si="1058">AVERAGE(H691:H693)</f>
        <v>33739.333333333336</v>
      </c>
      <c r="I698" s="379">
        <f t="shared" si="1058"/>
        <v>481.2</v>
      </c>
      <c r="J698" s="379" t="e">
        <f t="shared" si="1058"/>
        <v>#DIV/0!</v>
      </c>
      <c r="K698" s="379">
        <f t="shared" si="1058"/>
        <v>33399.666666666664</v>
      </c>
      <c r="L698" s="379">
        <f t="shared" si="1058"/>
        <v>0</v>
      </c>
      <c r="M698" s="379">
        <f t="shared" si="1058"/>
        <v>33133.333333333336</v>
      </c>
      <c r="N698" s="379">
        <f t="shared" si="1058"/>
        <v>30510.666666666668</v>
      </c>
      <c r="O698" s="379">
        <f t="shared" si="1058"/>
        <v>0</v>
      </c>
      <c r="P698" s="379" t="e">
        <f t="shared" si="1058"/>
        <v>#DIV/0!</v>
      </c>
      <c r="Q698" s="379">
        <f t="shared" si="1058"/>
        <v>0</v>
      </c>
      <c r="R698" s="379">
        <f t="shared" si="1058"/>
        <v>0</v>
      </c>
      <c r="S698" s="379">
        <f t="shared" si="1058"/>
        <v>0</v>
      </c>
      <c r="T698" s="379">
        <f t="shared" si="1058"/>
        <v>0</v>
      </c>
      <c r="U698" s="379">
        <f t="shared" si="1058"/>
        <v>0</v>
      </c>
      <c r="V698" s="379">
        <f t="shared" si="1058"/>
        <v>0</v>
      </c>
      <c r="W698" s="379">
        <f t="shared" si="1058"/>
        <v>0</v>
      </c>
      <c r="X698" s="379">
        <f t="shared" si="1058"/>
        <v>0</v>
      </c>
      <c r="Y698" s="379">
        <f t="shared" si="1058"/>
        <v>0</v>
      </c>
      <c r="Z698" s="379">
        <f t="shared" si="1058"/>
        <v>0</v>
      </c>
      <c r="AA698" s="379">
        <f t="shared" si="1058"/>
        <v>0</v>
      </c>
      <c r="AB698" s="379">
        <f t="shared" si="1058"/>
        <v>0</v>
      </c>
      <c r="AC698" s="379">
        <f t="shared" si="1058"/>
        <v>0</v>
      </c>
      <c r="AD698" s="379">
        <f t="shared" si="1058"/>
        <v>0</v>
      </c>
      <c r="AE698" s="379">
        <f t="shared" si="1058"/>
        <v>0</v>
      </c>
      <c r="AF698" s="379">
        <f t="shared" si="1058"/>
        <v>0</v>
      </c>
      <c r="AG698" s="379">
        <f t="shared" si="1058"/>
        <v>0</v>
      </c>
      <c r="AH698" s="379">
        <f t="shared" si="1058"/>
        <v>0</v>
      </c>
      <c r="AI698" s="379">
        <f t="shared" si="1058"/>
        <v>0</v>
      </c>
      <c r="AJ698" s="379">
        <f t="shared" si="1058"/>
        <v>0</v>
      </c>
      <c r="AK698" s="379">
        <f t="shared" si="1058"/>
        <v>0</v>
      </c>
      <c r="AL698" s="379">
        <f t="shared" si="1058"/>
        <v>0</v>
      </c>
      <c r="AM698" s="379">
        <f t="shared" si="1058"/>
        <v>0</v>
      </c>
      <c r="AN698" s="490">
        <f t="shared" si="1058"/>
        <v>0</v>
      </c>
      <c r="AO698" s="379">
        <f t="shared" si="1058"/>
        <v>0</v>
      </c>
      <c r="AP698" s="379">
        <f t="shared" si="1058"/>
        <v>0</v>
      </c>
      <c r="AQ698" s="379">
        <f t="shared" si="1058"/>
        <v>0</v>
      </c>
      <c r="AR698" s="379">
        <f t="shared" si="1058"/>
        <v>0</v>
      </c>
      <c r="AS698" s="379">
        <f t="shared" si="1058"/>
        <v>0</v>
      </c>
      <c r="AT698" s="379">
        <f t="shared" si="1058"/>
        <v>0</v>
      </c>
      <c r="AU698" s="379">
        <f t="shared" si="1058"/>
        <v>0</v>
      </c>
      <c r="AV698" s="379">
        <f t="shared" si="1058"/>
        <v>0</v>
      </c>
      <c r="AW698" s="379">
        <f t="shared" si="1058"/>
        <v>0</v>
      </c>
      <c r="AX698" s="379">
        <f t="shared" si="1058"/>
        <v>0</v>
      </c>
      <c r="AY698" s="379">
        <f t="shared" si="1058"/>
        <v>0</v>
      </c>
    </row>
    <row r="699" spans="1:51" ht="13.5" thickBot="1" x14ac:dyDescent="0.25">
      <c r="A699" s="386"/>
      <c r="B699" s="386"/>
      <c r="C699" s="386" t="s">
        <v>269</v>
      </c>
      <c r="D699" s="386"/>
      <c r="E699" s="491"/>
      <c r="F699" s="384"/>
      <c r="G699" s="388">
        <f>MEDIAN(G691:G693)</f>
        <v>77504</v>
      </c>
      <c r="H699" s="388">
        <f t="shared" ref="H699:AY699" si="1059">MEDIAN(H691:H693)</f>
        <v>27740</v>
      </c>
      <c r="I699" s="388">
        <f t="shared" si="1059"/>
        <v>513</v>
      </c>
      <c r="J699" s="388" t="e">
        <f t="shared" si="1059"/>
        <v>#NUM!</v>
      </c>
      <c r="K699" s="388">
        <f t="shared" si="1059"/>
        <v>28399</v>
      </c>
      <c r="L699" s="388">
        <f t="shared" si="1059"/>
        <v>0</v>
      </c>
      <c r="M699" s="388">
        <f t="shared" si="1059"/>
        <v>27763</v>
      </c>
      <c r="N699" s="388">
        <f t="shared" si="1059"/>
        <v>25283</v>
      </c>
      <c r="O699" s="388">
        <f t="shared" si="1059"/>
        <v>0</v>
      </c>
      <c r="P699" s="388" t="e">
        <f t="shared" si="1059"/>
        <v>#NUM!</v>
      </c>
      <c r="Q699" s="388">
        <f t="shared" si="1059"/>
        <v>0</v>
      </c>
      <c r="R699" s="388">
        <f t="shared" si="1059"/>
        <v>0</v>
      </c>
      <c r="S699" s="388">
        <f t="shared" si="1059"/>
        <v>0</v>
      </c>
      <c r="T699" s="388">
        <f t="shared" si="1059"/>
        <v>0</v>
      </c>
      <c r="U699" s="388">
        <f t="shared" si="1059"/>
        <v>0</v>
      </c>
      <c r="V699" s="388">
        <f t="shared" si="1059"/>
        <v>0</v>
      </c>
      <c r="W699" s="388">
        <f t="shared" si="1059"/>
        <v>0</v>
      </c>
      <c r="X699" s="388">
        <f t="shared" si="1059"/>
        <v>0</v>
      </c>
      <c r="Y699" s="388">
        <f t="shared" si="1059"/>
        <v>0</v>
      </c>
      <c r="Z699" s="388">
        <f t="shared" si="1059"/>
        <v>0</v>
      </c>
      <c r="AA699" s="388">
        <f t="shared" si="1059"/>
        <v>0</v>
      </c>
      <c r="AB699" s="388">
        <f t="shared" si="1059"/>
        <v>0</v>
      </c>
      <c r="AC699" s="388">
        <f t="shared" si="1059"/>
        <v>0</v>
      </c>
      <c r="AD699" s="388">
        <f t="shared" si="1059"/>
        <v>0</v>
      </c>
      <c r="AE699" s="388">
        <f t="shared" si="1059"/>
        <v>0</v>
      </c>
      <c r="AF699" s="388">
        <f t="shared" si="1059"/>
        <v>0</v>
      </c>
      <c r="AG699" s="388">
        <f t="shared" si="1059"/>
        <v>0</v>
      </c>
      <c r="AH699" s="388">
        <f t="shared" si="1059"/>
        <v>0</v>
      </c>
      <c r="AI699" s="388">
        <f t="shared" si="1059"/>
        <v>0</v>
      </c>
      <c r="AJ699" s="388">
        <f t="shared" si="1059"/>
        <v>0</v>
      </c>
      <c r="AK699" s="388">
        <f t="shared" si="1059"/>
        <v>0</v>
      </c>
      <c r="AL699" s="388">
        <f t="shared" si="1059"/>
        <v>0</v>
      </c>
      <c r="AM699" s="388">
        <f t="shared" si="1059"/>
        <v>0</v>
      </c>
      <c r="AN699" s="492">
        <f t="shared" si="1059"/>
        <v>0</v>
      </c>
      <c r="AO699" s="388">
        <f t="shared" si="1059"/>
        <v>0</v>
      </c>
      <c r="AP699" s="388">
        <f t="shared" si="1059"/>
        <v>0</v>
      </c>
      <c r="AQ699" s="388">
        <f t="shared" si="1059"/>
        <v>0</v>
      </c>
      <c r="AR699" s="388">
        <f t="shared" si="1059"/>
        <v>0</v>
      </c>
      <c r="AS699" s="388">
        <f t="shared" si="1059"/>
        <v>0</v>
      </c>
      <c r="AT699" s="388">
        <f t="shared" si="1059"/>
        <v>0</v>
      </c>
      <c r="AU699" s="388">
        <f t="shared" si="1059"/>
        <v>0</v>
      </c>
      <c r="AV699" s="388">
        <f t="shared" si="1059"/>
        <v>0</v>
      </c>
      <c r="AW699" s="388">
        <f t="shared" si="1059"/>
        <v>0</v>
      </c>
      <c r="AX699" s="388">
        <f t="shared" si="1059"/>
        <v>0</v>
      </c>
      <c r="AY699" s="388">
        <f t="shared" si="1059"/>
        <v>0</v>
      </c>
    </row>
    <row r="700" spans="1:51" ht="13.5" thickTop="1" x14ac:dyDescent="0.2">
      <c r="B700"/>
      <c r="C700" s="278"/>
      <c r="D700" s="278"/>
      <c r="E700" s="507"/>
    </row>
    <row r="701" spans="1:51" ht="13.5" thickBot="1" x14ac:dyDescent="0.25">
      <c r="A701" s="400"/>
      <c r="B701" s="400"/>
      <c r="C701" s="402" t="s">
        <v>190</v>
      </c>
      <c r="D701" s="402"/>
      <c r="E701" s="503"/>
    </row>
    <row r="702" spans="1:51" ht="13.5" thickTop="1" x14ac:dyDescent="0.2">
      <c r="A702" s="376">
        <v>14000</v>
      </c>
      <c r="B702" s="378" t="str">
        <f t="shared" ref="B702:B709" si="1060">VLOOKUP($A702,$A$5:$L$133,2,FALSE)</f>
        <v>Hornsby (A)</v>
      </c>
      <c r="C702" s="377" t="str">
        <f t="shared" ref="C702:C709" si="1061">VLOOKUP($A702,$A$5:$L$133,3,FALSE)</f>
        <v>NSROC</v>
      </c>
      <c r="D702" s="503" t="str">
        <f t="shared" ref="D702:D709" si="1062">VLOOKUP($A702,$A$5:$L$133,4,FALSE)</f>
        <v>S</v>
      </c>
      <c r="E702" s="503"/>
      <c r="F702"/>
      <c r="G702" s="379">
        <f t="shared" ref="G702:G709" si="1063">VLOOKUP($A702,$A$5:$AY$132,7,FALSE)</f>
        <v>151237</v>
      </c>
      <c r="H702" s="379">
        <f t="shared" ref="H702:H709" si="1064">VLOOKUP($A702,$A$5:$AY$132,8,FALSE)</f>
        <v>42686</v>
      </c>
      <c r="I702" s="379">
        <f t="shared" ref="I702:I709" si="1065">VLOOKUP($A702,$A$5:$AY$132,9,FALSE)</f>
        <v>436</v>
      </c>
      <c r="J702" s="379" t="str">
        <f t="shared" ref="J702:J709" si="1066">VLOOKUP($A702,$A$5:$AY$132,10,FALSE)</f>
        <v>Y</v>
      </c>
      <c r="K702" s="379">
        <f t="shared" ref="K702:K709" si="1067">VLOOKUP($A702,$A$5:$AY$132,11,FALSE)</f>
        <v>42706</v>
      </c>
      <c r="L702" s="379">
        <f t="shared" ref="L702:L709" si="1068">VLOOKUP($A702,$A$5:$AY$132,12,FALSE)</f>
        <v>0</v>
      </c>
      <c r="M702" s="379">
        <f t="shared" ref="M702:M709" si="1069">VLOOKUP($A702,$A$4:$AY$132,13,FALSE)</f>
        <v>42701</v>
      </c>
      <c r="N702" s="379">
        <f t="shared" ref="N702:N709" si="1070">VLOOKUP($A702,$A$4:$AY$132,14,FALSE)</f>
        <v>39215</v>
      </c>
      <c r="O702" s="379">
        <f t="shared" ref="O702:O709" si="1071">VLOOKUP($A702,$A$4:$AY$132,15,FALSE)</f>
        <v>0</v>
      </c>
      <c r="P702" s="379" t="str">
        <f t="shared" ref="P702:P709" si="1072">VLOOKUP($A702,$A$4:$AY$132,16,FALSE)</f>
        <v>Y</v>
      </c>
      <c r="Q702" s="379" t="str">
        <f t="shared" ref="Q702:Q709" si="1073">VLOOKUP($A702,$A$4:$AY$132,17,FALSE)</f>
        <v>Y</v>
      </c>
      <c r="R702" s="379" t="str">
        <f t="shared" ref="R702:R709" si="1074">VLOOKUP($A702,$A$4:$AY$132,18,FALSE)</f>
        <v>Thornleigh Depot</v>
      </c>
      <c r="S702" s="379">
        <f t="shared" ref="S702:S709" si="1075">VLOOKUP($A702,$A$4:$AY$132,19,FALSE)</f>
        <v>0</v>
      </c>
      <c r="T702" s="379">
        <f t="shared" ref="T702:T709" si="1076">VLOOKUP($A702,$A$4:$AY$132,20,FALSE)</f>
        <v>0</v>
      </c>
      <c r="U702" s="379">
        <f t="shared" ref="U702:U709" si="1077">VLOOKUP($A702,$A$4:$AY$132,21,FALSE)</f>
        <v>0</v>
      </c>
      <c r="V702" s="379">
        <f t="shared" ref="V702:V709" si="1078">VLOOKUP($A702,$A$4:$AY$132,22,FALSE)</f>
        <v>0</v>
      </c>
      <c r="W702" s="379">
        <f t="shared" ref="W702:W709" si="1079">VLOOKUP($A702,$A$4:$AY$132,23,FALSE)</f>
        <v>0</v>
      </c>
      <c r="X702" s="379">
        <f t="shared" ref="X702:X709" si="1080">VLOOKUP($A702,$A$4:$AY$132,24,FALSE)</f>
        <v>0</v>
      </c>
      <c r="Y702" s="379">
        <f t="shared" ref="Y702:Y709" si="1081">VLOOKUP($A702,$A$4:$AY$132,25,FALSE)</f>
        <v>0</v>
      </c>
      <c r="Z702" s="379">
        <f t="shared" ref="Z702:Z709" si="1082">VLOOKUP($A702,$A$4:$AY$132,26,FALSE)</f>
        <v>0</v>
      </c>
      <c r="AA702" s="379">
        <f t="shared" ref="AA702:AA709" si="1083">VLOOKUP($A702,$A$4:$AY$132,27,FALSE)</f>
        <v>0</v>
      </c>
      <c r="AB702" s="379">
        <f t="shared" ref="AB702:AB709" si="1084">VLOOKUP($A702,$A$4:$AY$132,28,FALSE)</f>
        <v>0</v>
      </c>
      <c r="AC702" s="379">
        <f t="shared" ref="AC702:AC709" si="1085">VLOOKUP($A702,$A$4:$AY$132,29,FALSE)</f>
        <v>0</v>
      </c>
      <c r="AD702" s="379">
        <f t="shared" ref="AD702:AD709" si="1086">VLOOKUP($A702,$A$4:$AY$132,30,FALSE)</f>
        <v>0</v>
      </c>
      <c r="AE702" s="379">
        <f t="shared" ref="AE702:AE709" si="1087">VLOOKUP($A702,$A$4:$AY$132,31,FALSE)</f>
        <v>0</v>
      </c>
      <c r="AF702" s="379">
        <f t="shared" ref="AF702:AF709" si="1088">VLOOKUP($A702,$A$4:$AY$132,32,FALSE)</f>
        <v>0</v>
      </c>
      <c r="AG702" s="379">
        <f t="shared" ref="AG702:AG709" si="1089">VLOOKUP($A702,$A$4:$AY$132,33,FALSE)</f>
        <v>0</v>
      </c>
      <c r="AH702" s="379">
        <f t="shared" ref="AH702:AH709" si="1090">VLOOKUP($A702,$A$4:$AY$132,34,FALSE)</f>
        <v>0</v>
      </c>
      <c r="AI702" s="379">
        <f t="shared" ref="AI702:AI709" si="1091">VLOOKUP($A702,$A$4:$AY$132,35,FALSE)</f>
        <v>0</v>
      </c>
      <c r="AJ702" s="379">
        <f t="shared" ref="AJ702:AJ709" si="1092">VLOOKUP($A702,$A$4:$AY$132,36,FALSE)</f>
        <v>0</v>
      </c>
      <c r="AK702" s="379">
        <f t="shared" ref="AK702:AK709" si="1093">VLOOKUP($A702,$A$4:$AY$132,37,FALSE)</f>
        <v>0</v>
      </c>
      <c r="AL702" s="379">
        <f t="shared" ref="AL702:AL709" si="1094">VLOOKUP($A702,$A$4:$AY$132,38,FALSE)</f>
        <v>0</v>
      </c>
      <c r="AM702" s="379">
        <f t="shared" ref="AM702:AM709" si="1095">VLOOKUP($A702,$A$4:$AY$132,39,FALSE)</f>
        <v>0</v>
      </c>
      <c r="AN702" s="490">
        <f t="shared" ref="AN702:AN709" si="1096">VLOOKUP($A702,$A$4:$AY$132,40,FALSE)</f>
        <v>0</v>
      </c>
      <c r="AO702" s="379">
        <f t="shared" ref="AO702:AO709" si="1097">VLOOKUP($A702,$A$4:$AY$132,41,FALSE)</f>
        <v>0</v>
      </c>
      <c r="AP702" s="379">
        <f t="shared" ref="AP702:AP709" si="1098">VLOOKUP($A702,$A$4:$AY$132,42,FALSE)</f>
        <v>0</v>
      </c>
      <c r="AQ702" s="379">
        <f t="shared" ref="AQ702:AQ709" si="1099">VLOOKUP($A702,$A$4:$AY$132,43,FALSE)</f>
        <v>0</v>
      </c>
      <c r="AR702" s="379">
        <f t="shared" ref="AR702:AR709" si="1100">VLOOKUP($A702,$A$4:$AY$132,44,FALSE)</f>
        <v>0</v>
      </c>
      <c r="AS702" s="379">
        <f t="shared" ref="AS702:AS709" si="1101">VLOOKUP($A702,$A$4:$AY$132,45,FALSE)</f>
        <v>0</v>
      </c>
      <c r="AT702" s="379">
        <f t="shared" ref="AT702:AT709" si="1102">VLOOKUP($A702,$A$4:$AY$132,46,FALSE)</f>
        <v>0</v>
      </c>
      <c r="AU702" s="379">
        <f t="shared" ref="AU702:AU709" si="1103">VLOOKUP($A702,$A$4:$AY$132,47,FALSE)</f>
        <v>0</v>
      </c>
      <c r="AV702" s="379">
        <f t="shared" ref="AV702:AV709" si="1104">VLOOKUP($A702,$A$4:$AY$132,48,FALSE)</f>
        <v>0</v>
      </c>
      <c r="AW702" s="379">
        <f t="shared" ref="AW702:AW709" si="1105">VLOOKUP($A702,$A$4:$AY$132,49,FALSE)</f>
        <v>0</v>
      </c>
      <c r="AX702" s="379">
        <f t="shared" ref="AX702:AX709" si="1106">VLOOKUP($A702,$A$4:$AY$132,50,FALSE)</f>
        <v>0</v>
      </c>
      <c r="AY702" s="379">
        <f t="shared" ref="AY702:AY709" si="1107">VLOOKUP($A702,$A$4:$AY$132,51,FALSE)</f>
        <v>0</v>
      </c>
    </row>
    <row r="703" spans="1:51" x14ac:dyDescent="0.2">
      <c r="A703" s="376">
        <v>14100</v>
      </c>
      <c r="B703" s="378" t="str">
        <f t="shared" si="1060"/>
        <v>Hunters Hill (A)</v>
      </c>
      <c r="C703" s="377" t="str">
        <f t="shared" si="1061"/>
        <v>NSROC</v>
      </c>
      <c r="D703" s="503" t="str">
        <f t="shared" si="1062"/>
        <v>S</v>
      </c>
      <c r="E703" s="503"/>
      <c r="F703"/>
      <c r="G703" s="379">
        <f t="shared" si="1063"/>
        <v>14843</v>
      </c>
      <c r="H703" s="379">
        <f t="shared" si="1064"/>
        <v>4916</v>
      </c>
      <c r="I703" s="379">
        <f t="shared" si="1065"/>
        <v>493.95</v>
      </c>
      <c r="J703" s="379" t="str">
        <f t="shared" si="1066"/>
        <v>Y</v>
      </c>
      <c r="K703" s="379">
        <f t="shared" si="1067"/>
        <v>4402</v>
      </c>
      <c r="L703" s="379">
        <f t="shared" si="1068"/>
        <v>0</v>
      </c>
      <c r="M703" s="379">
        <f t="shared" si="1069"/>
        <v>4340</v>
      </c>
      <c r="N703" s="379">
        <f t="shared" si="1070"/>
        <v>4340</v>
      </c>
      <c r="O703" s="379">
        <f t="shared" si="1071"/>
        <v>0</v>
      </c>
      <c r="P703" s="379" t="str">
        <f t="shared" si="1072"/>
        <v>Y</v>
      </c>
      <c r="Q703" s="379">
        <f t="shared" si="1073"/>
        <v>0</v>
      </c>
      <c r="R703" s="379">
        <f t="shared" si="1074"/>
        <v>0</v>
      </c>
      <c r="S703" s="379">
        <f t="shared" si="1075"/>
        <v>0</v>
      </c>
      <c r="T703" s="379">
        <f t="shared" si="1076"/>
        <v>0</v>
      </c>
      <c r="U703" s="379">
        <f t="shared" si="1077"/>
        <v>0</v>
      </c>
      <c r="V703" s="379">
        <f t="shared" si="1078"/>
        <v>0</v>
      </c>
      <c r="W703" s="379">
        <f t="shared" si="1079"/>
        <v>0</v>
      </c>
      <c r="X703" s="379">
        <f t="shared" si="1080"/>
        <v>0</v>
      </c>
      <c r="Y703" s="379">
        <f t="shared" si="1081"/>
        <v>0</v>
      </c>
      <c r="Z703" s="379">
        <f t="shared" si="1082"/>
        <v>0</v>
      </c>
      <c r="AA703" s="379">
        <f t="shared" si="1083"/>
        <v>0</v>
      </c>
      <c r="AB703" s="379">
        <f t="shared" si="1084"/>
        <v>0</v>
      </c>
      <c r="AC703" s="379">
        <f t="shared" si="1085"/>
        <v>0</v>
      </c>
      <c r="AD703" s="379">
        <f t="shared" si="1086"/>
        <v>0</v>
      </c>
      <c r="AE703" s="379">
        <f t="shared" si="1087"/>
        <v>0</v>
      </c>
      <c r="AF703" s="379">
        <f t="shared" si="1088"/>
        <v>0</v>
      </c>
      <c r="AG703" s="379">
        <f t="shared" si="1089"/>
        <v>0</v>
      </c>
      <c r="AH703" s="379">
        <f t="shared" si="1090"/>
        <v>0</v>
      </c>
      <c r="AI703" s="379">
        <f t="shared" si="1091"/>
        <v>0</v>
      </c>
      <c r="AJ703" s="379">
        <f t="shared" si="1092"/>
        <v>0</v>
      </c>
      <c r="AK703" s="379">
        <f t="shared" si="1093"/>
        <v>0</v>
      </c>
      <c r="AL703" s="379">
        <f t="shared" si="1094"/>
        <v>0</v>
      </c>
      <c r="AM703" s="379">
        <f t="shared" si="1095"/>
        <v>0</v>
      </c>
      <c r="AN703" s="490">
        <f t="shared" si="1096"/>
        <v>0</v>
      </c>
      <c r="AO703" s="379">
        <f t="shared" si="1097"/>
        <v>0</v>
      </c>
      <c r="AP703" s="379">
        <f t="shared" si="1098"/>
        <v>0</v>
      </c>
      <c r="AQ703" s="379">
        <f t="shared" si="1099"/>
        <v>0</v>
      </c>
      <c r="AR703" s="379">
        <f t="shared" si="1100"/>
        <v>0</v>
      </c>
      <c r="AS703" s="379">
        <f t="shared" si="1101"/>
        <v>0</v>
      </c>
      <c r="AT703" s="379">
        <f t="shared" si="1102"/>
        <v>0</v>
      </c>
      <c r="AU703" s="379">
        <f t="shared" si="1103"/>
        <v>0</v>
      </c>
      <c r="AV703" s="379">
        <f t="shared" si="1104"/>
        <v>0</v>
      </c>
      <c r="AW703" s="379">
        <f t="shared" si="1105"/>
        <v>0</v>
      </c>
      <c r="AX703" s="379">
        <f t="shared" si="1106"/>
        <v>0</v>
      </c>
      <c r="AY703" s="379">
        <f t="shared" si="1107"/>
        <v>0</v>
      </c>
    </row>
    <row r="704" spans="1:51" x14ac:dyDescent="0.2">
      <c r="A704" s="376">
        <v>14500</v>
      </c>
      <c r="B704" s="378" t="str">
        <f t="shared" si="1060"/>
        <v>Ku-ring-gai (A)</v>
      </c>
      <c r="C704" s="377" t="str">
        <f t="shared" si="1061"/>
        <v>NSROC</v>
      </c>
      <c r="D704" s="503" t="str">
        <f t="shared" si="1062"/>
        <v>S</v>
      </c>
      <c r="E704" s="503"/>
      <c r="F704"/>
      <c r="G704" s="379">
        <f t="shared" si="1063"/>
        <v>124179</v>
      </c>
      <c r="H704" s="379">
        <f t="shared" si="1064"/>
        <v>41624</v>
      </c>
      <c r="I704" s="379">
        <f t="shared" si="1065"/>
        <v>455</v>
      </c>
      <c r="J704" s="379" t="str">
        <f t="shared" si="1066"/>
        <v>Y</v>
      </c>
      <c r="K704" s="379">
        <f t="shared" si="1067"/>
        <v>42870</v>
      </c>
      <c r="L704" s="379">
        <f t="shared" si="1068"/>
        <v>0</v>
      </c>
      <c r="M704" s="379">
        <f t="shared" si="1069"/>
        <v>42870</v>
      </c>
      <c r="N704" s="379">
        <f t="shared" si="1070"/>
        <v>35392</v>
      </c>
      <c r="O704" s="379">
        <f t="shared" si="1071"/>
        <v>0</v>
      </c>
      <c r="P704" s="379" t="str">
        <f t="shared" si="1072"/>
        <v>Y</v>
      </c>
      <c r="Q704" s="379">
        <f t="shared" si="1073"/>
        <v>0</v>
      </c>
      <c r="R704" s="379">
        <f t="shared" si="1074"/>
        <v>0</v>
      </c>
      <c r="S704" s="379">
        <f t="shared" si="1075"/>
        <v>0</v>
      </c>
      <c r="T704" s="379">
        <f t="shared" si="1076"/>
        <v>0</v>
      </c>
      <c r="U704" s="379">
        <f t="shared" si="1077"/>
        <v>0</v>
      </c>
      <c r="V704" s="379">
        <f t="shared" si="1078"/>
        <v>0</v>
      </c>
      <c r="W704" s="379">
        <f t="shared" si="1079"/>
        <v>0</v>
      </c>
      <c r="X704" s="379">
        <f t="shared" si="1080"/>
        <v>0</v>
      </c>
      <c r="Y704" s="379">
        <f t="shared" si="1081"/>
        <v>0</v>
      </c>
      <c r="Z704" s="379">
        <f t="shared" si="1082"/>
        <v>0</v>
      </c>
      <c r="AA704" s="379">
        <f t="shared" si="1083"/>
        <v>0</v>
      </c>
      <c r="AB704" s="379">
        <f t="shared" si="1084"/>
        <v>0</v>
      </c>
      <c r="AC704" s="379">
        <f t="shared" si="1085"/>
        <v>0</v>
      </c>
      <c r="AD704" s="379">
        <f t="shared" si="1086"/>
        <v>0</v>
      </c>
      <c r="AE704" s="379">
        <f t="shared" si="1087"/>
        <v>0</v>
      </c>
      <c r="AF704" s="379">
        <f t="shared" si="1088"/>
        <v>0</v>
      </c>
      <c r="AG704" s="379">
        <f t="shared" si="1089"/>
        <v>0</v>
      </c>
      <c r="AH704" s="379">
        <f t="shared" si="1090"/>
        <v>0</v>
      </c>
      <c r="AI704" s="379">
        <f t="shared" si="1091"/>
        <v>0</v>
      </c>
      <c r="AJ704" s="379">
        <f t="shared" si="1092"/>
        <v>0</v>
      </c>
      <c r="AK704" s="379">
        <f t="shared" si="1093"/>
        <v>0</v>
      </c>
      <c r="AL704" s="379">
        <f t="shared" si="1094"/>
        <v>0</v>
      </c>
      <c r="AM704" s="379">
        <f t="shared" si="1095"/>
        <v>0</v>
      </c>
      <c r="AN704" s="490">
        <f t="shared" si="1096"/>
        <v>0</v>
      </c>
      <c r="AO704" s="379">
        <f t="shared" si="1097"/>
        <v>0</v>
      </c>
      <c r="AP704" s="379">
        <f t="shared" si="1098"/>
        <v>0</v>
      </c>
      <c r="AQ704" s="379">
        <f t="shared" si="1099"/>
        <v>0</v>
      </c>
      <c r="AR704" s="379">
        <f t="shared" si="1100"/>
        <v>0</v>
      </c>
      <c r="AS704" s="379">
        <f t="shared" si="1101"/>
        <v>0</v>
      </c>
      <c r="AT704" s="379">
        <f t="shared" si="1102"/>
        <v>0</v>
      </c>
      <c r="AU704" s="379">
        <f t="shared" si="1103"/>
        <v>0</v>
      </c>
      <c r="AV704" s="379">
        <f t="shared" si="1104"/>
        <v>0</v>
      </c>
      <c r="AW704" s="379">
        <f t="shared" si="1105"/>
        <v>0</v>
      </c>
      <c r="AX704" s="379">
        <f t="shared" si="1106"/>
        <v>0</v>
      </c>
      <c r="AY704" s="379">
        <f t="shared" si="1107"/>
        <v>0</v>
      </c>
    </row>
    <row r="705" spans="1:51" x14ac:dyDescent="0.2">
      <c r="A705" s="376">
        <v>14700</v>
      </c>
      <c r="B705" s="378" t="str">
        <f t="shared" si="1060"/>
        <v>Lane Cove (A)</v>
      </c>
      <c r="C705" s="377" t="str">
        <f t="shared" si="1061"/>
        <v>NSROC</v>
      </c>
      <c r="D705" s="503" t="str">
        <f t="shared" si="1062"/>
        <v>S</v>
      </c>
      <c r="E705" s="503"/>
      <c r="F705"/>
      <c r="G705" s="379">
        <f t="shared" si="1063"/>
        <v>36996</v>
      </c>
      <c r="H705" s="379">
        <f t="shared" si="1064"/>
        <v>15942</v>
      </c>
      <c r="I705" s="379">
        <f t="shared" si="1065"/>
        <v>425</v>
      </c>
      <c r="J705" s="379" t="str">
        <f t="shared" si="1066"/>
        <v>Y</v>
      </c>
      <c r="K705" s="379">
        <f t="shared" si="1067"/>
        <v>10880</v>
      </c>
      <c r="L705" s="379">
        <f t="shared" si="1068"/>
        <v>0</v>
      </c>
      <c r="M705" s="379">
        <f t="shared" si="1069"/>
        <v>15942</v>
      </c>
      <c r="N705" s="379">
        <f t="shared" si="1070"/>
        <v>13456</v>
      </c>
      <c r="O705" s="379">
        <f t="shared" si="1071"/>
        <v>0</v>
      </c>
      <c r="P705" s="379" t="str">
        <f t="shared" si="1072"/>
        <v>Y</v>
      </c>
      <c r="Q705" s="379">
        <f t="shared" si="1073"/>
        <v>0</v>
      </c>
      <c r="R705" s="379">
        <f t="shared" si="1074"/>
        <v>0</v>
      </c>
      <c r="S705" s="379">
        <f t="shared" si="1075"/>
        <v>0</v>
      </c>
      <c r="T705" s="379">
        <f t="shared" si="1076"/>
        <v>0</v>
      </c>
      <c r="U705" s="379">
        <f t="shared" si="1077"/>
        <v>0</v>
      </c>
      <c r="V705" s="379">
        <f t="shared" si="1078"/>
        <v>0</v>
      </c>
      <c r="W705" s="379">
        <f t="shared" si="1079"/>
        <v>0</v>
      </c>
      <c r="X705" s="379">
        <f t="shared" si="1080"/>
        <v>0</v>
      </c>
      <c r="Y705" s="379">
        <f t="shared" si="1081"/>
        <v>0</v>
      </c>
      <c r="Z705" s="379">
        <f t="shared" si="1082"/>
        <v>0</v>
      </c>
      <c r="AA705" s="379">
        <f t="shared" si="1083"/>
        <v>0</v>
      </c>
      <c r="AB705" s="379">
        <f t="shared" si="1084"/>
        <v>0</v>
      </c>
      <c r="AC705" s="379">
        <f t="shared" si="1085"/>
        <v>0</v>
      </c>
      <c r="AD705" s="379">
        <f t="shared" si="1086"/>
        <v>0</v>
      </c>
      <c r="AE705" s="379">
        <f t="shared" si="1087"/>
        <v>0</v>
      </c>
      <c r="AF705" s="379">
        <f t="shared" si="1088"/>
        <v>0</v>
      </c>
      <c r="AG705" s="379">
        <f t="shared" si="1089"/>
        <v>0</v>
      </c>
      <c r="AH705" s="379">
        <f t="shared" si="1090"/>
        <v>0</v>
      </c>
      <c r="AI705" s="379">
        <f t="shared" si="1091"/>
        <v>0</v>
      </c>
      <c r="AJ705" s="379">
        <f t="shared" si="1092"/>
        <v>0</v>
      </c>
      <c r="AK705" s="379">
        <f t="shared" si="1093"/>
        <v>0</v>
      </c>
      <c r="AL705" s="379">
        <f t="shared" si="1094"/>
        <v>0</v>
      </c>
      <c r="AM705" s="379">
        <f t="shared" si="1095"/>
        <v>0</v>
      </c>
      <c r="AN705" s="490">
        <f t="shared" si="1096"/>
        <v>0</v>
      </c>
      <c r="AO705" s="379">
        <f t="shared" si="1097"/>
        <v>0</v>
      </c>
      <c r="AP705" s="379">
        <f t="shared" si="1098"/>
        <v>0</v>
      </c>
      <c r="AQ705" s="379">
        <f t="shared" si="1099"/>
        <v>0</v>
      </c>
      <c r="AR705" s="379">
        <f t="shared" si="1100"/>
        <v>0</v>
      </c>
      <c r="AS705" s="379">
        <f t="shared" si="1101"/>
        <v>0</v>
      </c>
      <c r="AT705" s="379">
        <f t="shared" si="1102"/>
        <v>0</v>
      </c>
      <c r="AU705" s="379">
        <f t="shared" si="1103"/>
        <v>0</v>
      </c>
      <c r="AV705" s="379">
        <f t="shared" si="1104"/>
        <v>0</v>
      </c>
      <c r="AW705" s="379">
        <f t="shared" si="1105"/>
        <v>0</v>
      </c>
      <c r="AX705" s="379">
        <f t="shared" si="1106"/>
        <v>0</v>
      </c>
      <c r="AY705" s="379">
        <f t="shared" si="1107"/>
        <v>0</v>
      </c>
    </row>
    <row r="706" spans="1:51" x14ac:dyDescent="0.2">
      <c r="A706" s="376">
        <v>15950</v>
      </c>
      <c r="B706" s="378" t="str">
        <f t="shared" si="1060"/>
        <v>North Sydney (A)</v>
      </c>
      <c r="C706" s="377" t="str">
        <f t="shared" si="1061"/>
        <v>NSROC</v>
      </c>
      <c r="D706" s="503" t="str">
        <f t="shared" si="1062"/>
        <v>S</v>
      </c>
      <c r="E706" s="503"/>
      <c r="F706"/>
      <c r="G706" s="379">
        <f t="shared" si="1063"/>
        <v>73514</v>
      </c>
      <c r="H706" s="379">
        <f t="shared" si="1064"/>
        <v>36785</v>
      </c>
      <c r="I706" s="379">
        <f t="shared" si="1065"/>
        <v>294</v>
      </c>
      <c r="J706" s="379" t="str">
        <f t="shared" si="1066"/>
        <v>Y</v>
      </c>
      <c r="K706" s="379">
        <f t="shared" si="1067"/>
        <v>35095</v>
      </c>
      <c r="L706" s="379" t="str">
        <f t="shared" si="1068"/>
        <v>Y</v>
      </c>
      <c r="M706" s="379">
        <f t="shared" si="1069"/>
        <v>36589</v>
      </c>
      <c r="N706" s="379">
        <f t="shared" si="1070"/>
        <v>0</v>
      </c>
      <c r="O706" s="379">
        <f t="shared" si="1071"/>
        <v>0</v>
      </c>
      <c r="P706" s="379" t="str">
        <f t="shared" si="1072"/>
        <v>Y</v>
      </c>
      <c r="Q706" s="379" t="str">
        <f t="shared" si="1073"/>
        <v>Y</v>
      </c>
      <c r="R706" s="379" t="str">
        <f t="shared" si="1074"/>
        <v>Coal Loader</v>
      </c>
      <c r="S706" s="379" t="str">
        <f t="shared" si="1075"/>
        <v>Northern Sydney CRC</v>
      </c>
      <c r="T706" s="379">
        <f t="shared" si="1076"/>
        <v>0</v>
      </c>
      <c r="U706" s="379">
        <f t="shared" si="1077"/>
        <v>0</v>
      </c>
      <c r="V706" s="379">
        <f t="shared" si="1078"/>
        <v>0</v>
      </c>
      <c r="W706" s="379">
        <f t="shared" si="1079"/>
        <v>0</v>
      </c>
      <c r="X706" s="379">
        <f t="shared" si="1080"/>
        <v>0</v>
      </c>
      <c r="Y706" s="379">
        <f t="shared" si="1081"/>
        <v>0</v>
      </c>
      <c r="Z706" s="379">
        <f t="shared" si="1082"/>
        <v>0</v>
      </c>
      <c r="AA706" s="379">
        <f t="shared" si="1083"/>
        <v>0</v>
      </c>
      <c r="AB706" s="379">
        <f t="shared" si="1084"/>
        <v>0</v>
      </c>
      <c r="AC706" s="379">
        <f t="shared" si="1085"/>
        <v>0</v>
      </c>
      <c r="AD706" s="379">
        <f t="shared" si="1086"/>
        <v>0</v>
      </c>
      <c r="AE706" s="379">
        <f t="shared" si="1087"/>
        <v>0</v>
      </c>
      <c r="AF706" s="379">
        <f t="shared" si="1088"/>
        <v>0</v>
      </c>
      <c r="AG706" s="379">
        <f t="shared" si="1089"/>
        <v>0</v>
      </c>
      <c r="AH706" s="379">
        <f t="shared" si="1090"/>
        <v>0</v>
      </c>
      <c r="AI706" s="379">
        <f t="shared" si="1091"/>
        <v>0</v>
      </c>
      <c r="AJ706" s="379">
        <f t="shared" si="1092"/>
        <v>0</v>
      </c>
      <c r="AK706" s="379">
        <f t="shared" si="1093"/>
        <v>0</v>
      </c>
      <c r="AL706" s="379">
        <f t="shared" si="1094"/>
        <v>0</v>
      </c>
      <c r="AM706" s="379">
        <f t="shared" si="1095"/>
        <v>0</v>
      </c>
      <c r="AN706" s="490">
        <f t="shared" si="1096"/>
        <v>0</v>
      </c>
      <c r="AO706" s="379">
        <f t="shared" si="1097"/>
        <v>0</v>
      </c>
      <c r="AP706" s="379">
        <f t="shared" si="1098"/>
        <v>0</v>
      </c>
      <c r="AQ706" s="379">
        <f t="shared" si="1099"/>
        <v>0</v>
      </c>
      <c r="AR706" s="379">
        <f t="shared" si="1100"/>
        <v>0</v>
      </c>
      <c r="AS706" s="379">
        <f t="shared" si="1101"/>
        <v>0</v>
      </c>
      <c r="AT706" s="379">
        <f t="shared" si="1102"/>
        <v>0</v>
      </c>
      <c r="AU706" s="379">
        <f t="shared" si="1103"/>
        <v>0</v>
      </c>
      <c r="AV706" s="379">
        <f t="shared" si="1104"/>
        <v>0</v>
      </c>
      <c r="AW706" s="379">
        <f t="shared" si="1105"/>
        <v>0</v>
      </c>
      <c r="AX706" s="379">
        <f t="shared" si="1106"/>
        <v>0</v>
      </c>
      <c r="AY706" s="379">
        <f t="shared" si="1107"/>
        <v>0</v>
      </c>
    </row>
    <row r="707" spans="1:51" x14ac:dyDescent="0.2">
      <c r="A707" s="376">
        <v>15350</v>
      </c>
      <c r="B707" s="378" t="str">
        <f t="shared" si="1060"/>
        <v>Mosman (A)</v>
      </c>
      <c r="C707" s="377" t="str">
        <f t="shared" si="1061"/>
        <v>NSROC</v>
      </c>
      <c r="D707" s="503" t="str">
        <f t="shared" si="1062"/>
        <v>S</v>
      </c>
      <c r="E707" s="503"/>
      <c r="F707"/>
      <c r="G707" s="379">
        <f t="shared" si="1063"/>
        <v>30646</v>
      </c>
      <c r="H707" s="379">
        <f t="shared" si="1064"/>
        <v>13288</v>
      </c>
      <c r="I707" s="379">
        <f t="shared" si="1065"/>
        <v>348</v>
      </c>
      <c r="J707" s="379" t="str">
        <f t="shared" si="1066"/>
        <v>Y</v>
      </c>
      <c r="K707" s="379">
        <f t="shared" si="1067"/>
        <v>12695</v>
      </c>
      <c r="L707" s="379">
        <f t="shared" si="1068"/>
        <v>0</v>
      </c>
      <c r="M707" s="379">
        <f t="shared" si="1069"/>
        <v>12695</v>
      </c>
      <c r="N707" s="379">
        <f t="shared" si="1070"/>
        <v>12695</v>
      </c>
      <c r="O707" s="379">
        <f t="shared" si="1071"/>
        <v>0</v>
      </c>
      <c r="P707" s="379" t="str">
        <f t="shared" si="1072"/>
        <v>Y</v>
      </c>
      <c r="Q707" s="379">
        <f t="shared" si="1073"/>
        <v>0</v>
      </c>
      <c r="R707" s="379">
        <f t="shared" si="1074"/>
        <v>0</v>
      </c>
      <c r="S707" s="379">
        <f t="shared" si="1075"/>
        <v>0</v>
      </c>
      <c r="T707" s="379">
        <f t="shared" si="1076"/>
        <v>0</v>
      </c>
      <c r="U707" s="379">
        <f t="shared" si="1077"/>
        <v>0</v>
      </c>
      <c r="V707" s="379">
        <f t="shared" si="1078"/>
        <v>0</v>
      </c>
      <c r="W707" s="379">
        <f t="shared" si="1079"/>
        <v>0</v>
      </c>
      <c r="X707" s="379">
        <f t="shared" si="1080"/>
        <v>0</v>
      </c>
      <c r="Y707" s="379">
        <f t="shared" si="1081"/>
        <v>0</v>
      </c>
      <c r="Z707" s="379">
        <f t="shared" si="1082"/>
        <v>0</v>
      </c>
      <c r="AA707" s="379">
        <f t="shared" si="1083"/>
        <v>0</v>
      </c>
      <c r="AB707" s="379">
        <f t="shared" si="1084"/>
        <v>0</v>
      </c>
      <c r="AC707" s="379">
        <f t="shared" si="1085"/>
        <v>0</v>
      </c>
      <c r="AD707" s="379">
        <f t="shared" si="1086"/>
        <v>0</v>
      </c>
      <c r="AE707" s="379">
        <f t="shared" si="1087"/>
        <v>0</v>
      </c>
      <c r="AF707" s="379">
        <f t="shared" si="1088"/>
        <v>0</v>
      </c>
      <c r="AG707" s="379">
        <f t="shared" si="1089"/>
        <v>0</v>
      </c>
      <c r="AH707" s="379">
        <f t="shared" si="1090"/>
        <v>0</v>
      </c>
      <c r="AI707" s="379">
        <f t="shared" si="1091"/>
        <v>0</v>
      </c>
      <c r="AJ707" s="379">
        <f t="shared" si="1092"/>
        <v>0</v>
      </c>
      <c r="AK707" s="379">
        <f t="shared" si="1093"/>
        <v>0</v>
      </c>
      <c r="AL707" s="379">
        <f t="shared" si="1094"/>
        <v>0</v>
      </c>
      <c r="AM707" s="379">
        <f t="shared" si="1095"/>
        <v>0</v>
      </c>
      <c r="AN707" s="490">
        <f t="shared" si="1096"/>
        <v>0</v>
      </c>
      <c r="AO707" s="379">
        <f t="shared" si="1097"/>
        <v>0</v>
      </c>
      <c r="AP707" s="379">
        <f t="shared" si="1098"/>
        <v>0</v>
      </c>
      <c r="AQ707" s="379">
        <f t="shared" si="1099"/>
        <v>0</v>
      </c>
      <c r="AR707" s="379">
        <f t="shared" si="1100"/>
        <v>0</v>
      </c>
      <c r="AS707" s="379">
        <f t="shared" si="1101"/>
        <v>0</v>
      </c>
      <c r="AT707" s="379">
        <f t="shared" si="1102"/>
        <v>0</v>
      </c>
      <c r="AU707" s="379">
        <f t="shared" si="1103"/>
        <v>0</v>
      </c>
      <c r="AV707" s="379">
        <f t="shared" si="1104"/>
        <v>0</v>
      </c>
      <c r="AW707" s="379">
        <f t="shared" si="1105"/>
        <v>0</v>
      </c>
      <c r="AX707" s="379">
        <f t="shared" si="1106"/>
        <v>0</v>
      </c>
      <c r="AY707" s="379">
        <f t="shared" si="1107"/>
        <v>0</v>
      </c>
    </row>
    <row r="708" spans="1:51" x14ac:dyDescent="0.2">
      <c r="A708" s="376">
        <v>16700</v>
      </c>
      <c r="B708" s="378" t="str">
        <f t="shared" si="1060"/>
        <v>Ryde (C)</v>
      </c>
      <c r="C708" s="377" t="str">
        <f t="shared" si="1061"/>
        <v>NSROC</v>
      </c>
      <c r="D708" s="503" t="str">
        <f t="shared" si="1062"/>
        <v>S</v>
      </c>
      <c r="E708" s="503"/>
      <c r="F708"/>
      <c r="G708" s="379">
        <f t="shared" si="1063"/>
        <v>119544</v>
      </c>
      <c r="H708" s="379">
        <f t="shared" si="1064"/>
        <v>45866</v>
      </c>
      <c r="I708" s="379">
        <f t="shared" si="1065"/>
        <v>432</v>
      </c>
      <c r="J708" s="379" t="str">
        <f t="shared" si="1066"/>
        <v>Y</v>
      </c>
      <c r="K708" s="379">
        <f t="shared" si="1067"/>
        <v>33177</v>
      </c>
      <c r="L708" s="379">
        <f t="shared" si="1068"/>
        <v>0</v>
      </c>
      <c r="M708" s="379">
        <f t="shared" si="1069"/>
        <v>34185</v>
      </c>
      <c r="N708" s="379">
        <f t="shared" si="1070"/>
        <v>27527</v>
      </c>
      <c r="O708" s="379">
        <f t="shared" si="1071"/>
        <v>0</v>
      </c>
      <c r="P708" s="379" t="str">
        <f t="shared" si="1072"/>
        <v>Y</v>
      </c>
      <c r="Q708" s="379" t="str">
        <f t="shared" si="1073"/>
        <v>Y</v>
      </c>
      <c r="R708" s="379" t="str">
        <f t="shared" si="1074"/>
        <v>Mobile Recycle Unit</v>
      </c>
      <c r="S708" s="379">
        <f t="shared" si="1075"/>
        <v>0</v>
      </c>
      <c r="T708" s="379">
        <f t="shared" si="1076"/>
        <v>0</v>
      </c>
      <c r="U708" s="379">
        <f t="shared" si="1077"/>
        <v>0</v>
      </c>
      <c r="V708" s="379">
        <f t="shared" si="1078"/>
        <v>0</v>
      </c>
      <c r="W708" s="379">
        <f t="shared" si="1079"/>
        <v>0</v>
      </c>
      <c r="X708" s="379">
        <f t="shared" si="1080"/>
        <v>0</v>
      </c>
      <c r="Y708" s="379">
        <f t="shared" si="1081"/>
        <v>0</v>
      </c>
      <c r="Z708" s="379">
        <f t="shared" si="1082"/>
        <v>0</v>
      </c>
      <c r="AA708" s="379">
        <f t="shared" si="1083"/>
        <v>0</v>
      </c>
      <c r="AB708" s="379">
        <f t="shared" si="1084"/>
        <v>0</v>
      </c>
      <c r="AC708" s="379">
        <f t="shared" si="1085"/>
        <v>0</v>
      </c>
      <c r="AD708" s="379">
        <f t="shared" si="1086"/>
        <v>0</v>
      </c>
      <c r="AE708" s="379">
        <f t="shared" si="1087"/>
        <v>0</v>
      </c>
      <c r="AF708" s="379">
        <f t="shared" si="1088"/>
        <v>0</v>
      </c>
      <c r="AG708" s="379">
        <f t="shared" si="1089"/>
        <v>0</v>
      </c>
      <c r="AH708" s="379">
        <f t="shared" si="1090"/>
        <v>0</v>
      </c>
      <c r="AI708" s="379">
        <f t="shared" si="1091"/>
        <v>0</v>
      </c>
      <c r="AJ708" s="379">
        <f t="shared" si="1092"/>
        <v>0</v>
      </c>
      <c r="AK708" s="379">
        <f t="shared" si="1093"/>
        <v>0</v>
      </c>
      <c r="AL708" s="379">
        <f t="shared" si="1094"/>
        <v>0</v>
      </c>
      <c r="AM708" s="379">
        <f t="shared" si="1095"/>
        <v>0</v>
      </c>
      <c r="AN708" s="490">
        <f t="shared" si="1096"/>
        <v>0</v>
      </c>
      <c r="AO708" s="379">
        <f t="shared" si="1097"/>
        <v>0</v>
      </c>
      <c r="AP708" s="379">
        <f t="shared" si="1098"/>
        <v>0</v>
      </c>
      <c r="AQ708" s="379">
        <f t="shared" si="1099"/>
        <v>0</v>
      </c>
      <c r="AR708" s="379">
        <f t="shared" si="1100"/>
        <v>0</v>
      </c>
      <c r="AS708" s="379">
        <f t="shared" si="1101"/>
        <v>0</v>
      </c>
      <c r="AT708" s="379">
        <f t="shared" si="1102"/>
        <v>0</v>
      </c>
      <c r="AU708" s="379">
        <f t="shared" si="1103"/>
        <v>0</v>
      </c>
      <c r="AV708" s="379">
        <f t="shared" si="1104"/>
        <v>0</v>
      </c>
      <c r="AW708" s="379">
        <f t="shared" si="1105"/>
        <v>0</v>
      </c>
      <c r="AX708" s="379">
        <f t="shared" si="1106"/>
        <v>0</v>
      </c>
      <c r="AY708" s="379">
        <f t="shared" si="1107"/>
        <v>0</v>
      </c>
    </row>
    <row r="709" spans="1:51" ht="13.5" thickBot="1" x14ac:dyDescent="0.25">
      <c r="A709" s="376">
        <v>18250</v>
      </c>
      <c r="B709" s="378" t="str">
        <f t="shared" si="1060"/>
        <v>Willoughby (C)</v>
      </c>
      <c r="C709" s="377" t="str">
        <f t="shared" si="1061"/>
        <v>NSROC</v>
      </c>
      <c r="D709" s="503" t="str">
        <f t="shared" si="1062"/>
        <v>S</v>
      </c>
      <c r="E709" s="503"/>
      <c r="F709"/>
      <c r="G709" s="379">
        <f t="shared" si="1063"/>
        <v>77833</v>
      </c>
      <c r="H709" s="379">
        <f t="shared" si="1064"/>
        <v>28654</v>
      </c>
      <c r="I709" s="379">
        <f t="shared" si="1065"/>
        <v>515</v>
      </c>
      <c r="J709" s="379" t="str">
        <f t="shared" si="1066"/>
        <v>Y</v>
      </c>
      <c r="K709" s="379">
        <f t="shared" si="1067"/>
        <v>32346</v>
      </c>
      <c r="L709" s="379">
        <f t="shared" si="1068"/>
        <v>0</v>
      </c>
      <c r="M709" s="379">
        <f t="shared" si="1069"/>
        <v>29845</v>
      </c>
      <c r="N709" s="379">
        <f t="shared" si="1070"/>
        <v>16171</v>
      </c>
      <c r="O709" s="379">
        <f t="shared" si="1071"/>
        <v>0</v>
      </c>
      <c r="P709" s="379" t="str">
        <f t="shared" si="1072"/>
        <v>Y</v>
      </c>
      <c r="Q709" s="379">
        <f t="shared" si="1073"/>
        <v>0</v>
      </c>
      <c r="R709" s="379">
        <f t="shared" si="1074"/>
        <v>0</v>
      </c>
      <c r="S709" s="379">
        <f t="shared" si="1075"/>
        <v>0</v>
      </c>
      <c r="T709" s="379">
        <f t="shared" si="1076"/>
        <v>0</v>
      </c>
      <c r="U709" s="379">
        <f t="shared" si="1077"/>
        <v>0</v>
      </c>
      <c r="V709" s="379">
        <f t="shared" si="1078"/>
        <v>0</v>
      </c>
      <c r="W709" s="379">
        <f t="shared" si="1079"/>
        <v>0</v>
      </c>
      <c r="X709" s="379">
        <f t="shared" si="1080"/>
        <v>0</v>
      </c>
      <c r="Y709" s="379">
        <f t="shared" si="1081"/>
        <v>0</v>
      </c>
      <c r="Z709" s="379">
        <f t="shared" si="1082"/>
        <v>0</v>
      </c>
      <c r="AA709" s="379">
        <f t="shared" si="1083"/>
        <v>0</v>
      </c>
      <c r="AB709" s="379">
        <f t="shared" si="1084"/>
        <v>0</v>
      </c>
      <c r="AC709" s="379">
        <f t="shared" si="1085"/>
        <v>0</v>
      </c>
      <c r="AD709" s="379">
        <f t="shared" si="1086"/>
        <v>0</v>
      </c>
      <c r="AE709" s="379">
        <f t="shared" si="1087"/>
        <v>0</v>
      </c>
      <c r="AF709" s="379">
        <f t="shared" si="1088"/>
        <v>0</v>
      </c>
      <c r="AG709" s="379">
        <f t="shared" si="1089"/>
        <v>0</v>
      </c>
      <c r="AH709" s="379">
        <f t="shared" si="1090"/>
        <v>0</v>
      </c>
      <c r="AI709" s="379">
        <f t="shared" si="1091"/>
        <v>0</v>
      </c>
      <c r="AJ709" s="379">
        <f t="shared" si="1092"/>
        <v>0</v>
      </c>
      <c r="AK709" s="379">
        <f t="shared" si="1093"/>
        <v>0</v>
      </c>
      <c r="AL709" s="379">
        <f t="shared" si="1094"/>
        <v>0</v>
      </c>
      <c r="AM709" s="379">
        <f t="shared" si="1095"/>
        <v>0</v>
      </c>
      <c r="AN709" s="490">
        <f t="shared" si="1096"/>
        <v>0</v>
      </c>
      <c r="AO709" s="379">
        <f t="shared" si="1097"/>
        <v>0</v>
      </c>
      <c r="AP709" s="379">
        <f t="shared" si="1098"/>
        <v>0</v>
      </c>
      <c r="AQ709" s="379">
        <f t="shared" si="1099"/>
        <v>0</v>
      </c>
      <c r="AR709" s="379">
        <f t="shared" si="1100"/>
        <v>0</v>
      </c>
      <c r="AS709" s="379">
        <f t="shared" si="1101"/>
        <v>0</v>
      </c>
      <c r="AT709" s="379">
        <f t="shared" si="1102"/>
        <v>0</v>
      </c>
      <c r="AU709" s="379">
        <f t="shared" si="1103"/>
        <v>0</v>
      </c>
      <c r="AV709" s="379">
        <f t="shared" si="1104"/>
        <v>0</v>
      </c>
      <c r="AW709" s="379">
        <f t="shared" si="1105"/>
        <v>0</v>
      </c>
      <c r="AX709" s="379">
        <f t="shared" si="1106"/>
        <v>0</v>
      </c>
      <c r="AY709" s="379">
        <f t="shared" si="1107"/>
        <v>0</v>
      </c>
    </row>
    <row r="710" spans="1:51" ht="13.5" thickTop="1" x14ac:dyDescent="0.2">
      <c r="A710" s="380"/>
      <c r="B710" s="380"/>
      <c r="C710" s="380" t="s">
        <v>264</v>
      </c>
      <c r="D710" s="380"/>
      <c r="E710" s="484"/>
      <c r="F710" s="381"/>
      <c r="G710" s="382">
        <f t="shared" ref="G710:AY710" si="1108">COUNTIF(G702:G709,"&gt;0")</f>
        <v>8</v>
      </c>
      <c r="H710" s="382">
        <f t="shared" si="1108"/>
        <v>8</v>
      </c>
      <c r="I710" s="382">
        <f t="shared" si="1108"/>
        <v>8</v>
      </c>
      <c r="J710" s="382">
        <f t="shared" si="1108"/>
        <v>0</v>
      </c>
      <c r="K710" s="382">
        <f t="shared" si="1108"/>
        <v>8</v>
      </c>
      <c r="L710" s="382">
        <f t="shared" si="1108"/>
        <v>0</v>
      </c>
      <c r="M710" s="382">
        <f t="shared" si="1108"/>
        <v>8</v>
      </c>
      <c r="N710" s="382">
        <f t="shared" si="1108"/>
        <v>7</v>
      </c>
      <c r="O710" s="382">
        <f t="shared" si="1108"/>
        <v>0</v>
      </c>
      <c r="P710" s="382">
        <f t="shared" si="1108"/>
        <v>0</v>
      </c>
      <c r="Q710" s="382">
        <f t="shared" si="1108"/>
        <v>0</v>
      </c>
      <c r="R710" s="382">
        <f t="shared" si="1108"/>
        <v>0</v>
      </c>
      <c r="S710" s="382">
        <f t="shared" si="1108"/>
        <v>0</v>
      </c>
      <c r="T710" s="382">
        <f t="shared" si="1108"/>
        <v>0</v>
      </c>
      <c r="U710" s="382">
        <f t="shared" si="1108"/>
        <v>0</v>
      </c>
      <c r="V710" s="382">
        <f t="shared" si="1108"/>
        <v>0</v>
      </c>
      <c r="W710" s="382">
        <f t="shared" si="1108"/>
        <v>0</v>
      </c>
      <c r="X710" s="382">
        <f t="shared" si="1108"/>
        <v>0</v>
      </c>
      <c r="Y710" s="382">
        <f t="shared" si="1108"/>
        <v>0</v>
      </c>
      <c r="Z710" s="382">
        <f t="shared" si="1108"/>
        <v>0</v>
      </c>
      <c r="AA710" s="382">
        <f t="shared" si="1108"/>
        <v>0</v>
      </c>
      <c r="AB710" s="382">
        <f t="shared" si="1108"/>
        <v>0</v>
      </c>
      <c r="AC710" s="382">
        <f t="shared" si="1108"/>
        <v>0</v>
      </c>
      <c r="AD710" s="382">
        <f t="shared" si="1108"/>
        <v>0</v>
      </c>
      <c r="AE710" s="382">
        <f t="shared" si="1108"/>
        <v>0</v>
      </c>
      <c r="AF710" s="382">
        <f t="shared" si="1108"/>
        <v>0</v>
      </c>
      <c r="AG710" s="382">
        <f t="shared" si="1108"/>
        <v>0</v>
      </c>
      <c r="AH710" s="382">
        <f t="shared" si="1108"/>
        <v>0</v>
      </c>
      <c r="AI710" s="382">
        <f t="shared" si="1108"/>
        <v>0</v>
      </c>
      <c r="AJ710" s="382">
        <f t="shared" si="1108"/>
        <v>0</v>
      </c>
      <c r="AK710" s="382">
        <f t="shared" si="1108"/>
        <v>0</v>
      </c>
      <c r="AL710" s="382">
        <f t="shared" si="1108"/>
        <v>0</v>
      </c>
      <c r="AM710" s="382">
        <f t="shared" si="1108"/>
        <v>0</v>
      </c>
      <c r="AN710" s="485">
        <f t="shared" si="1108"/>
        <v>0</v>
      </c>
      <c r="AO710" s="382">
        <f t="shared" si="1108"/>
        <v>0</v>
      </c>
      <c r="AP710" s="382">
        <f t="shared" si="1108"/>
        <v>0</v>
      </c>
      <c r="AQ710" s="382">
        <f t="shared" si="1108"/>
        <v>0</v>
      </c>
      <c r="AR710" s="382">
        <f t="shared" si="1108"/>
        <v>0</v>
      </c>
      <c r="AS710" s="382">
        <f t="shared" si="1108"/>
        <v>0</v>
      </c>
      <c r="AT710" s="382">
        <f t="shared" si="1108"/>
        <v>0</v>
      </c>
      <c r="AU710" s="382">
        <f t="shared" si="1108"/>
        <v>0</v>
      </c>
      <c r="AV710" s="382">
        <f t="shared" si="1108"/>
        <v>0</v>
      </c>
      <c r="AW710" s="382">
        <f t="shared" si="1108"/>
        <v>0</v>
      </c>
      <c r="AX710" s="382">
        <f t="shared" si="1108"/>
        <v>0</v>
      </c>
      <c r="AY710" s="382">
        <f t="shared" si="1108"/>
        <v>0</v>
      </c>
    </row>
    <row r="711" spans="1:51" x14ac:dyDescent="0.2">
      <c r="A711" s="376"/>
      <c r="B711" s="376"/>
      <c r="C711" s="376" t="s">
        <v>265</v>
      </c>
      <c r="D711" s="376"/>
      <c r="E711" s="488"/>
      <c r="F711" s="384"/>
      <c r="G711" s="385">
        <f>SUM(G702:G709)</f>
        <v>628792</v>
      </c>
      <c r="H711" s="385">
        <f t="shared" ref="H711:AY711" si="1109">SUM(H702:H709)</f>
        <v>229761</v>
      </c>
      <c r="I711" s="385">
        <f t="shared" si="1109"/>
        <v>3398.95</v>
      </c>
      <c r="J711" s="385">
        <f t="shared" si="1109"/>
        <v>0</v>
      </c>
      <c r="K711" s="385">
        <f t="shared" si="1109"/>
        <v>214171</v>
      </c>
      <c r="L711" s="385">
        <f t="shared" si="1109"/>
        <v>0</v>
      </c>
      <c r="M711" s="385">
        <f t="shared" si="1109"/>
        <v>219167</v>
      </c>
      <c r="N711" s="385">
        <f t="shared" si="1109"/>
        <v>148796</v>
      </c>
      <c r="O711" s="385">
        <f t="shared" si="1109"/>
        <v>0</v>
      </c>
      <c r="P711" s="385">
        <f t="shared" si="1109"/>
        <v>0</v>
      </c>
      <c r="Q711" s="385">
        <f t="shared" si="1109"/>
        <v>0</v>
      </c>
      <c r="R711" s="385">
        <f t="shared" si="1109"/>
        <v>0</v>
      </c>
      <c r="S711" s="385">
        <f t="shared" si="1109"/>
        <v>0</v>
      </c>
      <c r="T711" s="385">
        <f t="shared" si="1109"/>
        <v>0</v>
      </c>
      <c r="U711" s="385">
        <f t="shared" si="1109"/>
        <v>0</v>
      </c>
      <c r="V711" s="385">
        <f t="shared" si="1109"/>
        <v>0</v>
      </c>
      <c r="W711" s="385">
        <f t="shared" si="1109"/>
        <v>0</v>
      </c>
      <c r="X711" s="385">
        <f t="shared" si="1109"/>
        <v>0</v>
      </c>
      <c r="Y711" s="385">
        <f t="shared" si="1109"/>
        <v>0</v>
      </c>
      <c r="Z711" s="385">
        <f t="shared" si="1109"/>
        <v>0</v>
      </c>
      <c r="AA711" s="385">
        <f t="shared" si="1109"/>
        <v>0</v>
      </c>
      <c r="AB711" s="385">
        <f t="shared" si="1109"/>
        <v>0</v>
      </c>
      <c r="AC711" s="385">
        <f t="shared" si="1109"/>
        <v>0</v>
      </c>
      <c r="AD711" s="385">
        <f t="shared" si="1109"/>
        <v>0</v>
      </c>
      <c r="AE711" s="385">
        <f t="shared" si="1109"/>
        <v>0</v>
      </c>
      <c r="AF711" s="385">
        <f t="shared" si="1109"/>
        <v>0</v>
      </c>
      <c r="AG711" s="385">
        <f t="shared" si="1109"/>
        <v>0</v>
      </c>
      <c r="AH711" s="385">
        <f t="shared" si="1109"/>
        <v>0</v>
      </c>
      <c r="AI711" s="385">
        <f t="shared" si="1109"/>
        <v>0</v>
      </c>
      <c r="AJ711" s="385">
        <f t="shared" si="1109"/>
        <v>0</v>
      </c>
      <c r="AK711" s="385">
        <f t="shared" si="1109"/>
        <v>0</v>
      </c>
      <c r="AL711" s="385">
        <f t="shared" si="1109"/>
        <v>0</v>
      </c>
      <c r="AM711" s="385">
        <f t="shared" si="1109"/>
        <v>0</v>
      </c>
      <c r="AN711" s="489">
        <f t="shared" si="1109"/>
        <v>0</v>
      </c>
      <c r="AO711" s="385">
        <f t="shared" si="1109"/>
        <v>0</v>
      </c>
      <c r="AP711" s="385">
        <f t="shared" si="1109"/>
        <v>0</v>
      </c>
      <c r="AQ711" s="385">
        <f t="shared" si="1109"/>
        <v>0</v>
      </c>
      <c r="AR711" s="385">
        <f t="shared" si="1109"/>
        <v>0</v>
      </c>
      <c r="AS711" s="385">
        <f t="shared" si="1109"/>
        <v>0</v>
      </c>
      <c r="AT711" s="385">
        <f t="shared" si="1109"/>
        <v>0</v>
      </c>
      <c r="AU711" s="385">
        <f t="shared" si="1109"/>
        <v>0</v>
      </c>
      <c r="AV711" s="385">
        <f t="shared" si="1109"/>
        <v>0</v>
      </c>
      <c r="AW711" s="385">
        <f t="shared" si="1109"/>
        <v>0</v>
      </c>
      <c r="AX711" s="385">
        <f t="shared" si="1109"/>
        <v>0</v>
      </c>
      <c r="AY711" s="385">
        <f t="shared" si="1109"/>
        <v>0</v>
      </c>
    </row>
    <row r="712" spans="1:51" x14ac:dyDescent="0.2">
      <c r="A712" s="376"/>
      <c r="B712" s="376"/>
      <c r="C712" s="376" t="s">
        <v>266</v>
      </c>
      <c r="D712" s="376"/>
      <c r="E712" s="488"/>
      <c r="F712" s="384"/>
      <c r="G712" s="379">
        <f t="shared" ref="G712:AY712" si="1110">MIN(G702:G709)</f>
        <v>14843</v>
      </c>
      <c r="H712" s="379">
        <f t="shared" si="1110"/>
        <v>4916</v>
      </c>
      <c r="I712" s="379">
        <f t="shared" si="1110"/>
        <v>294</v>
      </c>
      <c r="J712" s="379">
        <f t="shared" si="1110"/>
        <v>0</v>
      </c>
      <c r="K712" s="379">
        <f t="shared" si="1110"/>
        <v>4402</v>
      </c>
      <c r="L712" s="379">
        <f t="shared" si="1110"/>
        <v>0</v>
      </c>
      <c r="M712" s="379">
        <f t="shared" si="1110"/>
        <v>4340</v>
      </c>
      <c r="N712" s="379">
        <f t="shared" si="1110"/>
        <v>0</v>
      </c>
      <c r="O712" s="379">
        <f t="shared" si="1110"/>
        <v>0</v>
      </c>
      <c r="P712" s="379">
        <f t="shared" si="1110"/>
        <v>0</v>
      </c>
      <c r="Q712" s="379">
        <f t="shared" si="1110"/>
        <v>0</v>
      </c>
      <c r="R712" s="379">
        <f t="shared" si="1110"/>
        <v>0</v>
      </c>
      <c r="S712" s="379">
        <f t="shared" si="1110"/>
        <v>0</v>
      </c>
      <c r="T712" s="379">
        <f t="shared" si="1110"/>
        <v>0</v>
      </c>
      <c r="U712" s="379">
        <f t="shared" si="1110"/>
        <v>0</v>
      </c>
      <c r="V712" s="379">
        <f t="shared" si="1110"/>
        <v>0</v>
      </c>
      <c r="W712" s="379">
        <f t="shared" si="1110"/>
        <v>0</v>
      </c>
      <c r="X712" s="379">
        <f t="shared" si="1110"/>
        <v>0</v>
      </c>
      <c r="Y712" s="379">
        <f t="shared" si="1110"/>
        <v>0</v>
      </c>
      <c r="Z712" s="379">
        <f t="shared" si="1110"/>
        <v>0</v>
      </c>
      <c r="AA712" s="379">
        <f t="shared" si="1110"/>
        <v>0</v>
      </c>
      <c r="AB712" s="379">
        <f t="shared" si="1110"/>
        <v>0</v>
      </c>
      <c r="AC712" s="379">
        <f t="shared" si="1110"/>
        <v>0</v>
      </c>
      <c r="AD712" s="379">
        <f t="shared" si="1110"/>
        <v>0</v>
      </c>
      <c r="AE712" s="379">
        <f t="shared" si="1110"/>
        <v>0</v>
      </c>
      <c r="AF712" s="379">
        <f t="shared" si="1110"/>
        <v>0</v>
      </c>
      <c r="AG712" s="379">
        <f t="shared" si="1110"/>
        <v>0</v>
      </c>
      <c r="AH712" s="379">
        <f t="shared" si="1110"/>
        <v>0</v>
      </c>
      <c r="AI712" s="379">
        <f t="shared" si="1110"/>
        <v>0</v>
      </c>
      <c r="AJ712" s="379">
        <f t="shared" si="1110"/>
        <v>0</v>
      </c>
      <c r="AK712" s="379">
        <f t="shared" si="1110"/>
        <v>0</v>
      </c>
      <c r="AL712" s="379">
        <f t="shared" si="1110"/>
        <v>0</v>
      </c>
      <c r="AM712" s="379">
        <f t="shared" si="1110"/>
        <v>0</v>
      </c>
      <c r="AN712" s="490">
        <f t="shared" si="1110"/>
        <v>0</v>
      </c>
      <c r="AO712" s="379">
        <f t="shared" si="1110"/>
        <v>0</v>
      </c>
      <c r="AP712" s="379">
        <f t="shared" si="1110"/>
        <v>0</v>
      </c>
      <c r="AQ712" s="379">
        <f t="shared" si="1110"/>
        <v>0</v>
      </c>
      <c r="AR712" s="379">
        <f t="shared" si="1110"/>
        <v>0</v>
      </c>
      <c r="AS712" s="379">
        <f t="shared" si="1110"/>
        <v>0</v>
      </c>
      <c r="AT712" s="379">
        <f t="shared" si="1110"/>
        <v>0</v>
      </c>
      <c r="AU712" s="379">
        <f t="shared" si="1110"/>
        <v>0</v>
      </c>
      <c r="AV712" s="379">
        <f t="shared" si="1110"/>
        <v>0</v>
      </c>
      <c r="AW712" s="379">
        <f t="shared" si="1110"/>
        <v>0</v>
      </c>
      <c r="AX712" s="379">
        <f t="shared" si="1110"/>
        <v>0</v>
      </c>
      <c r="AY712" s="379">
        <f t="shared" si="1110"/>
        <v>0</v>
      </c>
    </row>
    <row r="713" spans="1:51" x14ac:dyDescent="0.2">
      <c r="A713" s="376"/>
      <c r="B713" s="376"/>
      <c r="C713" s="376" t="s">
        <v>267</v>
      </c>
      <c r="D713" s="376"/>
      <c r="E713" s="488"/>
      <c r="F713" s="384"/>
      <c r="G713" s="379">
        <f t="shared" ref="G713:AY713" si="1111">MAX(G702:G709)</f>
        <v>151237</v>
      </c>
      <c r="H713" s="379">
        <f t="shared" si="1111"/>
        <v>45866</v>
      </c>
      <c r="I713" s="379">
        <f t="shared" si="1111"/>
        <v>515</v>
      </c>
      <c r="J713" s="379">
        <f t="shared" si="1111"/>
        <v>0</v>
      </c>
      <c r="K713" s="379">
        <f t="shared" si="1111"/>
        <v>42870</v>
      </c>
      <c r="L713" s="379">
        <f t="shared" si="1111"/>
        <v>0</v>
      </c>
      <c r="M713" s="379">
        <f t="shared" si="1111"/>
        <v>42870</v>
      </c>
      <c r="N713" s="379">
        <f t="shared" si="1111"/>
        <v>39215</v>
      </c>
      <c r="O713" s="379">
        <f t="shared" si="1111"/>
        <v>0</v>
      </c>
      <c r="P713" s="379">
        <f t="shared" si="1111"/>
        <v>0</v>
      </c>
      <c r="Q713" s="379">
        <f t="shared" si="1111"/>
        <v>0</v>
      </c>
      <c r="R713" s="379">
        <f t="shared" si="1111"/>
        <v>0</v>
      </c>
      <c r="S713" s="379">
        <f t="shared" si="1111"/>
        <v>0</v>
      </c>
      <c r="T713" s="379">
        <f t="shared" si="1111"/>
        <v>0</v>
      </c>
      <c r="U713" s="379">
        <f t="shared" si="1111"/>
        <v>0</v>
      </c>
      <c r="V713" s="379">
        <f t="shared" si="1111"/>
        <v>0</v>
      </c>
      <c r="W713" s="379">
        <f t="shared" si="1111"/>
        <v>0</v>
      </c>
      <c r="X713" s="379">
        <f t="shared" si="1111"/>
        <v>0</v>
      </c>
      <c r="Y713" s="379">
        <f t="shared" si="1111"/>
        <v>0</v>
      </c>
      <c r="Z713" s="379">
        <f t="shared" si="1111"/>
        <v>0</v>
      </c>
      <c r="AA713" s="379">
        <f t="shared" si="1111"/>
        <v>0</v>
      </c>
      <c r="AB713" s="379">
        <f t="shared" si="1111"/>
        <v>0</v>
      </c>
      <c r="AC713" s="379">
        <f t="shared" si="1111"/>
        <v>0</v>
      </c>
      <c r="AD713" s="379">
        <f t="shared" si="1111"/>
        <v>0</v>
      </c>
      <c r="AE713" s="379">
        <f t="shared" si="1111"/>
        <v>0</v>
      </c>
      <c r="AF713" s="379">
        <f t="shared" si="1111"/>
        <v>0</v>
      </c>
      <c r="AG713" s="379">
        <f t="shared" si="1111"/>
        <v>0</v>
      </c>
      <c r="AH713" s="379">
        <f t="shared" si="1111"/>
        <v>0</v>
      </c>
      <c r="AI713" s="379">
        <f t="shared" si="1111"/>
        <v>0</v>
      </c>
      <c r="AJ713" s="379">
        <f t="shared" si="1111"/>
        <v>0</v>
      </c>
      <c r="AK713" s="379">
        <f t="shared" si="1111"/>
        <v>0</v>
      </c>
      <c r="AL713" s="379">
        <f t="shared" si="1111"/>
        <v>0</v>
      </c>
      <c r="AM713" s="379">
        <f t="shared" si="1111"/>
        <v>0</v>
      </c>
      <c r="AN713" s="490">
        <f t="shared" si="1111"/>
        <v>0</v>
      </c>
      <c r="AO713" s="379">
        <f t="shared" si="1111"/>
        <v>0</v>
      </c>
      <c r="AP713" s="379">
        <f t="shared" si="1111"/>
        <v>0</v>
      </c>
      <c r="AQ713" s="379">
        <f t="shared" si="1111"/>
        <v>0</v>
      </c>
      <c r="AR713" s="379">
        <f t="shared" si="1111"/>
        <v>0</v>
      </c>
      <c r="AS713" s="379">
        <f t="shared" si="1111"/>
        <v>0</v>
      </c>
      <c r="AT713" s="379">
        <f t="shared" si="1111"/>
        <v>0</v>
      </c>
      <c r="AU713" s="379">
        <f t="shared" si="1111"/>
        <v>0</v>
      </c>
      <c r="AV713" s="379">
        <f t="shared" si="1111"/>
        <v>0</v>
      </c>
      <c r="AW713" s="379">
        <f t="shared" si="1111"/>
        <v>0</v>
      </c>
      <c r="AX713" s="379">
        <f t="shared" si="1111"/>
        <v>0</v>
      </c>
      <c r="AY713" s="379">
        <f t="shared" si="1111"/>
        <v>0</v>
      </c>
    </row>
    <row r="714" spans="1:51" x14ac:dyDescent="0.2">
      <c r="A714" s="376"/>
      <c r="B714" s="376"/>
      <c r="C714" s="376" t="s">
        <v>268</v>
      </c>
      <c r="D714" s="376"/>
      <c r="E714" s="488"/>
      <c r="F714" s="384"/>
      <c r="G714" s="379">
        <f t="shared" ref="G714:AY714" si="1112">AVERAGE(G702:G709)</f>
        <v>78599</v>
      </c>
      <c r="H714" s="379">
        <f t="shared" si="1112"/>
        <v>28720.125</v>
      </c>
      <c r="I714" s="379">
        <f t="shared" si="1112"/>
        <v>424.86874999999998</v>
      </c>
      <c r="J714" s="379" t="e">
        <f t="shared" si="1112"/>
        <v>#DIV/0!</v>
      </c>
      <c r="K714" s="379">
        <f t="shared" si="1112"/>
        <v>26771.375</v>
      </c>
      <c r="L714" s="379">
        <f t="shared" si="1112"/>
        <v>0</v>
      </c>
      <c r="M714" s="379">
        <f t="shared" si="1112"/>
        <v>27395.875</v>
      </c>
      <c r="N714" s="379">
        <f t="shared" si="1112"/>
        <v>18599.5</v>
      </c>
      <c r="O714" s="379">
        <f t="shared" si="1112"/>
        <v>0</v>
      </c>
      <c r="P714" s="379" t="e">
        <f t="shared" si="1112"/>
        <v>#DIV/0!</v>
      </c>
      <c r="Q714" s="379">
        <f t="shared" si="1112"/>
        <v>0</v>
      </c>
      <c r="R714" s="379">
        <f t="shared" si="1112"/>
        <v>0</v>
      </c>
      <c r="S714" s="379">
        <f t="shared" si="1112"/>
        <v>0</v>
      </c>
      <c r="T714" s="379">
        <f t="shared" si="1112"/>
        <v>0</v>
      </c>
      <c r="U714" s="379">
        <f t="shared" si="1112"/>
        <v>0</v>
      </c>
      <c r="V714" s="379">
        <f t="shared" si="1112"/>
        <v>0</v>
      </c>
      <c r="W714" s="379">
        <f t="shared" si="1112"/>
        <v>0</v>
      </c>
      <c r="X714" s="379">
        <f t="shared" si="1112"/>
        <v>0</v>
      </c>
      <c r="Y714" s="379">
        <f t="shared" si="1112"/>
        <v>0</v>
      </c>
      <c r="Z714" s="379">
        <f t="shared" si="1112"/>
        <v>0</v>
      </c>
      <c r="AA714" s="379">
        <f t="shared" si="1112"/>
        <v>0</v>
      </c>
      <c r="AB714" s="379">
        <f t="shared" si="1112"/>
        <v>0</v>
      </c>
      <c r="AC714" s="379">
        <f t="shared" si="1112"/>
        <v>0</v>
      </c>
      <c r="AD714" s="379">
        <f t="shared" si="1112"/>
        <v>0</v>
      </c>
      <c r="AE714" s="379">
        <f t="shared" si="1112"/>
        <v>0</v>
      </c>
      <c r="AF714" s="379">
        <f t="shared" si="1112"/>
        <v>0</v>
      </c>
      <c r="AG714" s="379">
        <f t="shared" si="1112"/>
        <v>0</v>
      </c>
      <c r="AH714" s="379">
        <f t="shared" si="1112"/>
        <v>0</v>
      </c>
      <c r="AI714" s="379">
        <f t="shared" si="1112"/>
        <v>0</v>
      </c>
      <c r="AJ714" s="379">
        <f t="shared" si="1112"/>
        <v>0</v>
      </c>
      <c r="AK714" s="379">
        <f t="shared" si="1112"/>
        <v>0</v>
      </c>
      <c r="AL714" s="379">
        <f t="shared" si="1112"/>
        <v>0</v>
      </c>
      <c r="AM714" s="379">
        <f t="shared" si="1112"/>
        <v>0</v>
      </c>
      <c r="AN714" s="490">
        <f t="shared" si="1112"/>
        <v>0</v>
      </c>
      <c r="AO714" s="379">
        <f t="shared" si="1112"/>
        <v>0</v>
      </c>
      <c r="AP714" s="379">
        <f t="shared" si="1112"/>
        <v>0</v>
      </c>
      <c r="AQ714" s="379">
        <f t="shared" si="1112"/>
        <v>0</v>
      </c>
      <c r="AR714" s="379">
        <f t="shared" si="1112"/>
        <v>0</v>
      </c>
      <c r="AS714" s="379">
        <f t="shared" si="1112"/>
        <v>0</v>
      </c>
      <c r="AT714" s="379">
        <f t="shared" si="1112"/>
        <v>0</v>
      </c>
      <c r="AU714" s="379">
        <f t="shared" si="1112"/>
        <v>0</v>
      </c>
      <c r="AV714" s="379">
        <f t="shared" si="1112"/>
        <v>0</v>
      </c>
      <c r="AW714" s="379">
        <f t="shared" si="1112"/>
        <v>0</v>
      </c>
      <c r="AX714" s="379">
        <f t="shared" si="1112"/>
        <v>0</v>
      </c>
      <c r="AY714" s="379">
        <f t="shared" si="1112"/>
        <v>0</v>
      </c>
    </row>
    <row r="715" spans="1:51" ht="13.5" thickBot="1" x14ac:dyDescent="0.25">
      <c r="A715" s="386"/>
      <c r="B715" s="386"/>
      <c r="C715" s="386" t="s">
        <v>269</v>
      </c>
      <c r="D715" s="386"/>
      <c r="E715" s="491"/>
      <c r="F715" s="384"/>
      <c r="G715" s="388">
        <f t="shared" ref="G715:AY715" si="1113">MEDIAN(G702:G709)</f>
        <v>75673.5</v>
      </c>
      <c r="H715" s="388">
        <f t="shared" si="1113"/>
        <v>32719.5</v>
      </c>
      <c r="I715" s="388">
        <f t="shared" si="1113"/>
        <v>434</v>
      </c>
      <c r="J715" s="388" t="e">
        <f t="shared" si="1113"/>
        <v>#NUM!</v>
      </c>
      <c r="K715" s="388">
        <f t="shared" si="1113"/>
        <v>32761.5</v>
      </c>
      <c r="L715" s="388">
        <f t="shared" si="1113"/>
        <v>0</v>
      </c>
      <c r="M715" s="388">
        <f t="shared" si="1113"/>
        <v>32015</v>
      </c>
      <c r="N715" s="388">
        <f t="shared" si="1113"/>
        <v>14813.5</v>
      </c>
      <c r="O715" s="388">
        <f t="shared" si="1113"/>
        <v>0</v>
      </c>
      <c r="P715" s="388" t="e">
        <f t="shared" si="1113"/>
        <v>#NUM!</v>
      </c>
      <c r="Q715" s="388">
        <f t="shared" si="1113"/>
        <v>0</v>
      </c>
      <c r="R715" s="388">
        <f t="shared" si="1113"/>
        <v>0</v>
      </c>
      <c r="S715" s="388">
        <f t="shared" si="1113"/>
        <v>0</v>
      </c>
      <c r="T715" s="388">
        <f t="shared" si="1113"/>
        <v>0</v>
      </c>
      <c r="U715" s="388">
        <f t="shared" si="1113"/>
        <v>0</v>
      </c>
      <c r="V715" s="388">
        <f t="shared" si="1113"/>
        <v>0</v>
      </c>
      <c r="W715" s="388">
        <f t="shared" si="1113"/>
        <v>0</v>
      </c>
      <c r="X715" s="388">
        <f t="shared" si="1113"/>
        <v>0</v>
      </c>
      <c r="Y715" s="388">
        <f t="shared" si="1113"/>
        <v>0</v>
      </c>
      <c r="Z715" s="388">
        <f t="shared" si="1113"/>
        <v>0</v>
      </c>
      <c r="AA715" s="388">
        <f t="shared" si="1113"/>
        <v>0</v>
      </c>
      <c r="AB715" s="388">
        <f t="shared" si="1113"/>
        <v>0</v>
      </c>
      <c r="AC715" s="388">
        <f t="shared" si="1113"/>
        <v>0</v>
      </c>
      <c r="AD715" s="388">
        <f t="shared" si="1113"/>
        <v>0</v>
      </c>
      <c r="AE715" s="388">
        <f t="shared" si="1113"/>
        <v>0</v>
      </c>
      <c r="AF715" s="388">
        <f t="shared" si="1113"/>
        <v>0</v>
      </c>
      <c r="AG715" s="388">
        <f t="shared" si="1113"/>
        <v>0</v>
      </c>
      <c r="AH715" s="388">
        <f t="shared" si="1113"/>
        <v>0</v>
      </c>
      <c r="AI715" s="388">
        <f t="shared" si="1113"/>
        <v>0</v>
      </c>
      <c r="AJ715" s="388">
        <f t="shared" si="1113"/>
        <v>0</v>
      </c>
      <c r="AK715" s="388">
        <f t="shared" si="1113"/>
        <v>0</v>
      </c>
      <c r="AL715" s="388">
        <f t="shared" si="1113"/>
        <v>0</v>
      </c>
      <c r="AM715" s="388">
        <f t="shared" si="1113"/>
        <v>0</v>
      </c>
      <c r="AN715" s="492">
        <f t="shared" si="1113"/>
        <v>0</v>
      </c>
      <c r="AO715" s="388">
        <f t="shared" si="1113"/>
        <v>0</v>
      </c>
      <c r="AP715" s="388">
        <f t="shared" si="1113"/>
        <v>0</v>
      </c>
      <c r="AQ715" s="388">
        <f t="shared" si="1113"/>
        <v>0</v>
      </c>
      <c r="AR715" s="388">
        <f t="shared" si="1113"/>
        <v>0</v>
      </c>
      <c r="AS715" s="388">
        <f t="shared" si="1113"/>
        <v>0</v>
      </c>
      <c r="AT715" s="388">
        <f t="shared" si="1113"/>
        <v>0</v>
      </c>
      <c r="AU715" s="388">
        <f t="shared" si="1113"/>
        <v>0</v>
      </c>
      <c r="AV715" s="388">
        <f t="shared" si="1113"/>
        <v>0</v>
      </c>
      <c r="AW715" s="388">
        <f t="shared" si="1113"/>
        <v>0</v>
      </c>
      <c r="AX715" s="388">
        <f t="shared" si="1113"/>
        <v>0</v>
      </c>
      <c r="AY715" s="388">
        <f t="shared" si="1113"/>
        <v>0</v>
      </c>
    </row>
    <row r="716" spans="1:51" ht="13.5" thickTop="1" x14ac:dyDescent="0.2">
      <c r="B716"/>
      <c r="C716" s="278"/>
      <c r="D716" s="278"/>
      <c r="E716" s="507"/>
    </row>
    <row r="717" spans="1:51" ht="13.5" thickBot="1" x14ac:dyDescent="0.25">
      <c r="A717" s="400"/>
      <c r="B717" s="400"/>
      <c r="C717" s="402" t="s">
        <v>129</v>
      </c>
      <c r="D717" s="402"/>
      <c r="E717" s="503"/>
    </row>
    <row r="718" spans="1:51" ht="13.5" thickTop="1" x14ac:dyDescent="0.2">
      <c r="A718" s="376">
        <v>10750</v>
      </c>
      <c r="B718" s="378" t="str">
        <f t="shared" ref="B718:B726" si="1114">VLOOKUP($A718,$A$5:$L$133,2,FALSE)</f>
        <v>Blacktown (C)</v>
      </c>
      <c r="C718" s="377" t="str">
        <f t="shared" ref="C718:C726" si="1115">VLOOKUP($A718,$A$5:$L$133,3,FALSE)</f>
        <v>WSROC</v>
      </c>
      <c r="D718" s="503" t="str">
        <f t="shared" ref="D718:D726" si="1116">VLOOKUP($A718,$A$5:$L$133,4,FALSE)</f>
        <v>S</v>
      </c>
      <c r="E718" s="503"/>
      <c r="F718"/>
      <c r="G718" s="379">
        <f t="shared" ref="G718:G726" si="1117">VLOOKUP($A718,$A$5:$AY$132,7,FALSE)</f>
        <v>348138</v>
      </c>
      <c r="H718" s="379">
        <f t="shared" ref="H718:H726" si="1118">VLOOKUP($A718,$A$5:$AY$132,8,FALSE)</f>
        <v>122906</v>
      </c>
      <c r="I718" s="379">
        <f t="shared" ref="I718:I726" si="1119">VLOOKUP($A718,$A$5:$AY$132,9,FALSE)</f>
        <v>472</v>
      </c>
      <c r="J718" s="379" t="str">
        <f t="shared" ref="J718:J726" si="1120">VLOOKUP($A718,$A$5:$AY$132,10,FALSE)</f>
        <v>Y</v>
      </c>
      <c r="K718" s="379">
        <f t="shared" ref="K718:K726" si="1121">VLOOKUP($A718,$A$5:$AY$132,11,FALSE)</f>
        <v>106113</v>
      </c>
      <c r="L718" s="379" t="str">
        <f t="shared" ref="L718:L726" si="1122">VLOOKUP($A718,$A$5:$AY$132,12,FALSE)</f>
        <v>Y</v>
      </c>
      <c r="M718" s="379">
        <f t="shared" ref="M718:M726" si="1123">VLOOKUP($A718,$A$4:$AY$132,13,FALSE)</f>
        <v>105000</v>
      </c>
      <c r="N718" s="379">
        <f t="shared" ref="N718:N726" si="1124">VLOOKUP($A718,$A$4:$AY$132,14,FALSE)</f>
        <v>0</v>
      </c>
      <c r="O718" s="379">
        <f t="shared" ref="O718:O726" si="1125">VLOOKUP($A718,$A$4:$AY$132,15,FALSE)</f>
        <v>0</v>
      </c>
      <c r="P718" s="379" t="str">
        <f t="shared" ref="P718:P726" si="1126">VLOOKUP($A718,$A$4:$AY$132,16,FALSE)</f>
        <v>Y</v>
      </c>
      <c r="Q718" s="379" t="str">
        <f t="shared" ref="Q718:Q726" si="1127">VLOOKUP($A718,$A$4:$AY$132,17,FALSE)</f>
        <v>Y</v>
      </c>
      <c r="R718" s="379" t="str">
        <f t="shared" ref="R718:R726" si="1128">VLOOKUP($A718,$A$4:$AY$132,18,FALSE)</f>
        <v>Chemical Cleanout - Depot</v>
      </c>
      <c r="S718" s="379">
        <f t="shared" ref="S718:S726" si="1129">VLOOKUP($A718,$A$4:$AY$132,19,FALSE)</f>
        <v>0</v>
      </c>
      <c r="T718" s="379">
        <f t="shared" ref="T718:T726" si="1130">VLOOKUP($A718,$A$4:$AY$132,20,FALSE)</f>
        <v>0</v>
      </c>
      <c r="U718" s="379">
        <f t="shared" ref="U718:U726" si="1131">VLOOKUP($A718,$A$4:$AY$132,21,FALSE)</f>
        <v>0</v>
      </c>
      <c r="V718" s="379">
        <f t="shared" ref="V718:V726" si="1132">VLOOKUP($A718,$A$4:$AY$132,22,FALSE)</f>
        <v>0</v>
      </c>
      <c r="W718" s="379">
        <f t="shared" ref="W718:W726" si="1133">VLOOKUP($A718,$A$4:$AY$132,23,FALSE)</f>
        <v>0</v>
      </c>
      <c r="X718" s="379">
        <f t="shared" ref="X718:X726" si="1134">VLOOKUP($A718,$A$4:$AY$132,24,FALSE)</f>
        <v>0</v>
      </c>
      <c r="Y718" s="379">
        <f t="shared" ref="Y718:Y726" si="1135">VLOOKUP($A718,$A$4:$AY$132,25,FALSE)</f>
        <v>0</v>
      </c>
      <c r="Z718" s="379">
        <f t="shared" ref="Z718:Z726" si="1136">VLOOKUP($A718,$A$4:$AY$132,26,FALSE)</f>
        <v>0</v>
      </c>
      <c r="AA718" s="379">
        <f t="shared" ref="AA718:AA726" si="1137">VLOOKUP($A718,$A$4:$AY$132,27,FALSE)</f>
        <v>0</v>
      </c>
      <c r="AB718" s="379">
        <f t="shared" ref="AB718:AB726" si="1138">VLOOKUP($A718,$A$4:$AY$132,28,FALSE)</f>
        <v>0</v>
      </c>
      <c r="AC718" s="379">
        <f t="shared" ref="AC718:AC726" si="1139">VLOOKUP($A718,$A$4:$AY$132,29,FALSE)</f>
        <v>0</v>
      </c>
      <c r="AD718" s="379">
        <f t="shared" ref="AD718:AD726" si="1140">VLOOKUP($A718,$A$4:$AY$132,30,FALSE)</f>
        <v>0</v>
      </c>
      <c r="AE718" s="379">
        <f t="shared" ref="AE718:AE726" si="1141">VLOOKUP($A718,$A$4:$AY$132,31,FALSE)</f>
        <v>0</v>
      </c>
      <c r="AF718" s="379">
        <f t="shared" ref="AF718:AF726" si="1142">VLOOKUP($A718,$A$4:$AY$132,32,FALSE)</f>
        <v>0</v>
      </c>
      <c r="AG718" s="379">
        <f t="shared" ref="AG718:AG726" si="1143">VLOOKUP($A718,$A$4:$AY$132,33,FALSE)</f>
        <v>0</v>
      </c>
      <c r="AH718" s="379">
        <f t="shared" ref="AH718:AH726" si="1144">VLOOKUP($A718,$A$4:$AY$132,34,FALSE)</f>
        <v>0</v>
      </c>
      <c r="AI718" s="379">
        <f t="shared" ref="AI718:AI726" si="1145">VLOOKUP($A718,$A$4:$AY$132,35,FALSE)</f>
        <v>0</v>
      </c>
      <c r="AJ718" s="379">
        <f t="shared" ref="AJ718:AJ726" si="1146">VLOOKUP($A718,$A$4:$AY$132,36,FALSE)</f>
        <v>0</v>
      </c>
      <c r="AK718" s="379">
        <f t="shared" ref="AK718:AK726" si="1147">VLOOKUP($A718,$A$4:$AY$132,37,FALSE)</f>
        <v>0</v>
      </c>
      <c r="AL718" s="379">
        <f t="shared" ref="AL718:AL726" si="1148">VLOOKUP($A718,$A$4:$AY$132,38,FALSE)</f>
        <v>0</v>
      </c>
      <c r="AM718" s="379">
        <f t="shared" ref="AM718:AM726" si="1149">VLOOKUP($A718,$A$4:$AY$132,39,FALSE)</f>
        <v>0</v>
      </c>
      <c r="AN718" s="490">
        <f t="shared" ref="AN718:AN726" si="1150">VLOOKUP($A718,$A$4:$AY$132,40,FALSE)</f>
        <v>0</v>
      </c>
      <c r="AO718" s="379">
        <f t="shared" ref="AO718:AO726" si="1151">VLOOKUP($A718,$A$4:$AY$132,41,FALSE)</f>
        <v>0</v>
      </c>
      <c r="AP718" s="379">
        <f t="shared" ref="AP718:AP726" si="1152">VLOOKUP($A718,$A$4:$AY$132,42,FALSE)</f>
        <v>0</v>
      </c>
      <c r="AQ718" s="379">
        <f t="shared" ref="AQ718:AQ726" si="1153">VLOOKUP($A718,$A$4:$AY$132,43,FALSE)</f>
        <v>0</v>
      </c>
      <c r="AR718" s="379">
        <f t="shared" ref="AR718:AR726" si="1154">VLOOKUP($A718,$A$4:$AY$132,44,FALSE)</f>
        <v>0</v>
      </c>
      <c r="AS718" s="379">
        <f t="shared" ref="AS718:AS726" si="1155">VLOOKUP($A718,$A$4:$AY$132,45,FALSE)</f>
        <v>0</v>
      </c>
      <c r="AT718" s="379">
        <f t="shared" ref="AT718:AT726" si="1156">VLOOKUP($A718,$A$4:$AY$132,46,FALSE)</f>
        <v>0</v>
      </c>
      <c r="AU718" s="379">
        <f t="shared" ref="AU718:AU726" si="1157">VLOOKUP($A718,$A$4:$AY$132,47,FALSE)</f>
        <v>0</v>
      </c>
      <c r="AV718" s="379">
        <f t="shared" ref="AV718:AV726" si="1158">VLOOKUP($A718,$A$4:$AY$132,48,FALSE)</f>
        <v>0</v>
      </c>
      <c r="AW718" s="379">
        <f t="shared" ref="AW718:AW726" si="1159">VLOOKUP($A718,$A$4:$AY$132,49,FALSE)</f>
        <v>0</v>
      </c>
      <c r="AX718" s="379">
        <f t="shared" ref="AX718:AX726" si="1160">VLOOKUP($A718,$A$4:$AY$132,50,FALSE)</f>
        <v>0</v>
      </c>
      <c r="AY718" s="379">
        <f t="shared" ref="AY718:AY726" si="1161">VLOOKUP($A718,$A$4:$AY$132,51,FALSE)</f>
        <v>0</v>
      </c>
    </row>
    <row r="719" spans="1:51" x14ac:dyDescent="0.2">
      <c r="A719" s="376">
        <v>10900</v>
      </c>
      <c r="B719" s="378" t="str">
        <f t="shared" si="1114"/>
        <v>Blue Mountains (C)</v>
      </c>
      <c r="C719" s="377" t="str">
        <f t="shared" si="1115"/>
        <v>WSROC</v>
      </c>
      <c r="D719" s="503" t="str">
        <f t="shared" si="1116"/>
        <v>R</v>
      </c>
      <c r="E719" s="503"/>
      <c r="F719"/>
      <c r="G719" s="379">
        <f t="shared" si="1117"/>
        <v>80072</v>
      </c>
      <c r="H719" s="379">
        <f t="shared" si="1118"/>
        <v>34388</v>
      </c>
      <c r="I719" s="379">
        <f t="shared" si="1119"/>
        <v>390</v>
      </c>
      <c r="J719" s="379" t="str">
        <f t="shared" si="1120"/>
        <v>Y</v>
      </c>
      <c r="K719" s="379">
        <f t="shared" si="1121"/>
        <v>33871</v>
      </c>
      <c r="L719" s="379">
        <f t="shared" si="1122"/>
        <v>0</v>
      </c>
      <c r="M719" s="379">
        <f t="shared" si="1123"/>
        <v>33840</v>
      </c>
      <c r="N719" s="379">
        <f t="shared" si="1124"/>
        <v>33769</v>
      </c>
      <c r="O719" s="379">
        <f t="shared" si="1125"/>
        <v>0</v>
      </c>
      <c r="P719" s="379" t="str">
        <f t="shared" si="1126"/>
        <v>Y</v>
      </c>
      <c r="Q719" s="379" t="str">
        <f t="shared" si="1127"/>
        <v>Y</v>
      </c>
      <c r="R719" s="379" t="str">
        <f t="shared" si="1128"/>
        <v xml:space="preserve">Katoomba Waste and Resource Recovery Facility  </v>
      </c>
      <c r="S719" s="379" t="str">
        <f t="shared" si="1129"/>
        <v>Blaxland Waste and Resource Recovery Facility</v>
      </c>
      <c r="T719" s="379">
        <f t="shared" si="1130"/>
        <v>0</v>
      </c>
      <c r="U719" s="379">
        <f t="shared" si="1131"/>
        <v>0</v>
      </c>
      <c r="V719" s="379">
        <f t="shared" si="1132"/>
        <v>0</v>
      </c>
      <c r="W719" s="379">
        <f t="shared" si="1133"/>
        <v>0</v>
      </c>
      <c r="X719" s="379">
        <f t="shared" si="1134"/>
        <v>0</v>
      </c>
      <c r="Y719" s="379">
        <f t="shared" si="1135"/>
        <v>0</v>
      </c>
      <c r="Z719" s="379">
        <f t="shared" si="1136"/>
        <v>0</v>
      </c>
      <c r="AA719" s="379">
        <f t="shared" si="1137"/>
        <v>0</v>
      </c>
      <c r="AB719" s="379">
        <f t="shared" si="1138"/>
        <v>0</v>
      </c>
      <c r="AC719" s="379">
        <f t="shared" si="1139"/>
        <v>0</v>
      </c>
      <c r="AD719" s="379">
        <f t="shared" si="1140"/>
        <v>0</v>
      </c>
      <c r="AE719" s="379">
        <f t="shared" si="1141"/>
        <v>0</v>
      </c>
      <c r="AF719" s="379">
        <f t="shared" si="1142"/>
        <v>0</v>
      </c>
      <c r="AG719" s="379">
        <f t="shared" si="1143"/>
        <v>0</v>
      </c>
      <c r="AH719" s="379">
        <f t="shared" si="1144"/>
        <v>0</v>
      </c>
      <c r="AI719" s="379">
        <f t="shared" si="1145"/>
        <v>0</v>
      </c>
      <c r="AJ719" s="379">
        <f t="shared" si="1146"/>
        <v>0</v>
      </c>
      <c r="AK719" s="379">
        <f t="shared" si="1147"/>
        <v>0</v>
      </c>
      <c r="AL719" s="379">
        <f t="shared" si="1148"/>
        <v>0</v>
      </c>
      <c r="AM719" s="379">
        <f t="shared" si="1149"/>
        <v>0</v>
      </c>
      <c r="AN719" s="490">
        <f t="shared" si="1150"/>
        <v>0</v>
      </c>
      <c r="AO719" s="379">
        <f t="shared" si="1151"/>
        <v>0</v>
      </c>
      <c r="AP719" s="379">
        <f t="shared" si="1152"/>
        <v>0</v>
      </c>
      <c r="AQ719" s="379">
        <f t="shared" si="1153"/>
        <v>0</v>
      </c>
      <c r="AR719" s="379">
        <f t="shared" si="1154"/>
        <v>0</v>
      </c>
      <c r="AS719" s="379">
        <f t="shared" si="1155"/>
        <v>0</v>
      </c>
      <c r="AT719" s="379">
        <f t="shared" si="1156"/>
        <v>0</v>
      </c>
      <c r="AU719" s="379">
        <f t="shared" si="1157"/>
        <v>0</v>
      </c>
      <c r="AV719" s="379">
        <f t="shared" si="1158"/>
        <v>0</v>
      </c>
      <c r="AW719" s="379">
        <f t="shared" si="1159"/>
        <v>0</v>
      </c>
      <c r="AX719" s="379">
        <f t="shared" si="1160"/>
        <v>0</v>
      </c>
      <c r="AY719" s="379">
        <f t="shared" si="1161"/>
        <v>0</v>
      </c>
    </row>
    <row r="720" spans="1:51" x14ac:dyDescent="0.2">
      <c r="A720" s="376">
        <v>12380</v>
      </c>
      <c r="B720" s="378" t="str">
        <f t="shared" si="1114"/>
        <v>Cumberland (A)</v>
      </c>
      <c r="C720" s="377" t="str">
        <f t="shared" si="1115"/>
        <v>WSROC</v>
      </c>
      <c r="D720" s="503" t="str">
        <f t="shared" si="1116"/>
        <v>S</v>
      </c>
      <c r="E720" s="503"/>
      <c r="F720"/>
      <c r="G720" s="379">
        <f t="shared" si="1117"/>
        <v>222758</v>
      </c>
      <c r="H720" s="379">
        <f t="shared" si="1118"/>
        <v>72079</v>
      </c>
      <c r="I720" s="379">
        <f t="shared" si="1119"/>
        <v>447</v>
      </c>
      <c r="J720" s="379" t="str">
        <f t="shared" si="1120"/>
        <v>Y</v>
      </c>
      <c r="K720" s="379">
        <f t="shared" si="1121"/>
        <v>68923</v>
      </c>
      <c r="L720" s="379" t="str">
        <f t="shared" si="1122"/>
        <v>Y</v>
      </c>
      <c r="M720" s="379">
        <f t="shared" si="1123"/>
        <v>65715</v>
      </c>
      <c r="N720" s="379">
        <f t="shared" si="1124"/>
        <v>22584</v>
      </c>
      <c r="O720" s="379">
        <f t="shared" si="1125"/>
        <v>0</v>
      </c>
      <c r="P720" s="379" t="str">
        <f t="shared" si="1126"/>
        <v>Y</v>
      </c>
      <c r="Q720" s="379" t="str">
        <f t="shared" si="1127"/>
        <v>Y</v>
      </c>
      <c r="R720" s="379" t="str">
        <f t="shared" si="1128"/>
        <v>Holroyd Depot</v>
      </c>
      <c r="S720" s="379">
        <f t="shared" si="1129"/>
        <v>0</v>
      </c>
      <c r="T720" s="379">
        <f t="shared" si="1130"/>
        <v>0</v>
      </c>
      <c r="U720" s="379">
        <f t="shared" si="1131"/>
        <v>0</v>
      </c>
      <c r="V720" s="379">
        <f t="shared" si="1132"/>
        <v>0</v>
      </c>
      <c r="W720" s="379">
        <f t="shared" si="1133"/>
        <v>0</v>
      </c>
      <c r="X720" s="379">
        <f t="shared" si="1134"/>
        <v>0</v>
      </c>
      <c r="Y720" s="379">
        <f t="shared" si="1135"/>
        <v>0</v>
      </c>
      <c r="Z720" s="379">
        <f t="shared" si="1136"/>
        <v>0</v>
      </c>
      <c r="AA720" s="379">
        <f t="shared" si="1137"/>
        <v>0</v>
      </c>
      <c r="AB720" s="379">
        <f t="shared" si="1138"/>
        <v>0</v>
      </c>
      <c r="AC720" s="379">
        <f t="shared" si="1139"/>
        <v>0</v>
      </c>
      <c r="AD720" s="379">
        <f t="shared" si="1140"/>
        <v>0</v>
      </c>
      <c r="AE720" s="379">
        <f t="shared" si="1141"/>
        <v>0</v>
      </c>
      <c r="AF720" s="379">
        <f t="shared" si="1142"/>
        <v>0</v>
      </c>
      <c r="AG720" s="379">
        <f t="shared" si="1143"/>
        <v>0</v>
      </c>
      <c r="AH720" s="379">
        <f t="shared" si="1144"/>
        <v>0</v>
      </c>
      <c r="AI720" s="379">
        <f t="shared" si="1145"/>
        <v>0</v>
      </c>
      <c r="AJ720" s="379">
        <f t="shared" si="1146"/>
        <v>0</v>
      </c>
      <c r="AK720" s="379">
        <f t="shared" si="1147"/>
        <v>0</v>
      </c>
      <c r="AL720" s="379">
        <f t="shared" si="1148"/>
        <v>0</v>
      </c>
      <c r="AM720" s="379">
        <f t="shared" si="1149"/>
        <v>0</v>
      </c>
      <c r="AN720" s="490">
        <f t="shared" si="1150"/>
        <v>0</v>
      </c>
      <c r="AO720" s="379">
        <f t="shared" si="1151"/>
        <v>0</v>
      </c>
      <c r="AP720" s="379">
        <f t="shared" si="1152"/>
        <v>0</v>
      </c>
      <c r="AQ720" s="379">
        <f t="shared" si="1153"/>
        <v>0</v>
      </c>
      <c r="AR720" s="379">
        <f t="shared" si="1154"/>
        <v>0</v>
      </c>
      <c r="AS720" s="379">
        <f t="shared" si="1155"/>
        <v>0</v>
      </c>
      <c r="AT720" s="379">
        <f t="shared" si="1156"/>
        <v>0</v>
      </c>
      <c r="AU720" s="379">
        <f t="shared" si="1157"/>
        <v>0</v>
      </c>
      <c r="AV720" s="379">
        <f t="shared" si="1158"/>
        <v>0</v>
      </c>
      <c r="AW720" s="379">
        <f t="shared" si="1159"/>
        <v>0</v>
      </c>
      <c r="AX720" s="379">
        <f t="shared" si="1160"/>
        <v>0</v>
      </c>
      <c r="AY720" s="379">
        <f t="shared" si="1161"/>
        <v>0</v>
      </c>
    </row>
    <row r="721" spans="1:51" x14ac:dyDescent="0.2">
      <c r="A721" s="376">
        <v>12850</v>
      </c>
      <c r="B721" s="378" t="str">
        <f t="shared" si="1114"/>
        <v>Fairfield (C)</v>
      </c>
      <c r="C721" s="377" t="str">
        <f t="shared" si="1115"/>
        <v>WSROC</v>
      </c>
      <c r="D721" s="503" t="str">
        <f t="shared" si="1116"/>
        <v>S</v>
      </c>
      <c r="E721" s="503"/>
      <c r="F721"/>
      <c r="G721" s="379">
        <f t="shared" si="1117"/>
        <v>207022</v>
      </c>
      <c r="H721" s="379">
        <f t="shared" si="1118"/>
        <v>63104</v>
      </c>
      <c r="I721" s="379">
        <f t="shared" si="1119"/>
        <v>478.64</v>
      </c>
      <c r="J721" s="379" t="str">
        <f t="shared" si="1120"/>
        <v>Y</v>
      </c>
      <c r="K721" s="379">
        <f t="shared" si="1121"/>
        <v>57534</v>
      </c>
      <c r="L721" s="379" t="str">
        <f t="shared" si="1122"/>
        <v>Y</v>
      </c>
      <c r="M721" s="379">
        <f t="shared" si="1123"/>
        <v>63104</v>
      </c>
      <c r="N721" s="379">
        <f t="shared" si="1124"/>
        <v>0</v>
      </c>
      <c r="O721" s="379">
        <f t="shared" si="1125"/>
        <v>0</v>
      </c>
      <c r="P721" s="379" t="str">
        <f t="shared" si="1126"/>
        <v>Y</v>
      </c>
      <c r="Q721" s="379" t="str">
        <f t="shared" si="1127"/>
        <v>Y</v>
      </c>
      <c r="R721" s="379" t="str">
        <f t="shared" si="1128"/>
        <v>Recycling Drop Off Centre</v>
      </c>
      <c r="S721" s="379">
        <f t="shared" si="1129"/>
        <v>0</v>
      </c>
      <c r="T721" s="379">
        <f t="shared" si="1130"/>
        <v>0</v>
      </c>
      <c r="U721" s="379">
        <f t="shared" si="1131"/>
        <v>0</v>
      </c>
      <c r="V721" s="379">
        <f t="shared" si="1132"/>
        <v>0</v>
      </c>
      <c r="W721" s="379">
        <f t="shared" si="1133"/>
        <v>0</v>
      </c>
      <c r="X721" s="379">
        <f t="shared" si="1134"/>
        <v>0</v>
      </c>
      <c r="Y721" s="379">
        <f t="shared" si="1135"/>
        <v>0</v>
      </c>
      <c r="Z721" s="379">
        <f t="shared" si="1136"/>
        <v>0</v>
      </c>
      <c r="AA721" s="379">
        <f t="shared" si="1137"/>
        <v>0</v>
      </c>
      <c r="AB721" s="379">
        <f t="shared" si="1138"/>
        <v>0</v>
      </c>
      <c r="AC721" s="379">
        <f t="shared" si="1139"/>
        <v>0</v>
      </c>
      <c r="AD721" s="379">
        <f t="shared" si="1140"/>
        <v>0</v>
      </c>
      <c r="AE721" s="379">
        <f t="shared" si="1141"/>
        <v>0</v>
      </c>
      <c r="AF721" s="379">
        <f t="shared" si="1142"/>
        <v>0</v>
      </c>
      <c r="AG721" s="379">
        <f t="shared" si="1143"/>
        <v>0</v>
      </c>
      <c r="AH721" s="379">
        <f t="shared" si="1144"/>
        <v>0</v>
      </c>
      <c r="AI721" s="379">
        <f t="shared" si="1145"/>
        <v>0</v>
      </c>
      <c r="AJ721" s="379">
        <f t="shared" si="1146"/>
        <v>0</v>
      </c>
      <c r="AK721" s="379">
        <f t="shared" si="1147"/>
        <v>0</v>
      </c>
      <c r="AL721" s="379">
        <f t="shared" si="1148"/>
        <v>0</v>
      </c>
      <c r="AM721" s="379">
        <f t="shared" si="1149"/>
        <v>0</v>
      </c>
      <c r="AN721" s="490">
        <f t="shared" si="1150"/>
        <v>0</v>
      </c>
      <c r="AO721" s="379">
        <f t="shared" si="1151"/>
        <v>0</v>
      </c>
      <c r="AP721" s="379">
        <f t="shared" si="1152"/>
        <v>0</v>
      </c>
      <c r="AQ721" s="379">
        <f t="shared" si="1153"/>
        <v>0</v>
      </c>
      <c r="AR721" s="379">
        <f t="shared" si="1154"/>
        <v>0</v>
      </c>
      <c r="AS721" s="379">
        <f t="shared" si="1155"/>
        <v>0</v>
      </c>
      <c r="AT721" s="379">
        <f t="shared" si="1156"/>
        <v>0</v>
      </c>
      <c r="AU721" s="379">
        <f t="shared" si="1157"/>
        <v>0</v>
      </c>
      <c r="AV721" s="379">
        <f t="shared" si="1158"/>
        <v>0</v>
      </c>
      <c r="AW721" s="379">
        <f t="shared" si="1159"/>
        <v>0</v>
      </c>
      <c r="AX721" s="379">
        <f t="shared" si="1160"/>
        <v>0</v>
      </c>
      <c r="AY721" s="379">
        <f t="shared" si="1161"/>
        <v>0</v>
      </c>
    </row>
    <row r="722" spans="1:51" x14ac:dyDescent="0.2">
      <c r="A722" s="376">
        <v>13800</v>
      </c>
      <c r="B722" s="378" t="str">
        <f t="shared" si="1114"/>
        <v>Hawkesbury (C)</v>
      </c>
      <c r="C722" s="377" t="str">
        <f t="shared" si="1115"/>
        <v>WSROC</v>
      </c>
      <c r="D722" s="503" t="str">
        <f t="shared" si="1116"/>
        <v>E</v>
      </c>
      <c r="E722" s="503"/>
      <c r="F722"/>
      <c r="G722" s="379">
        <f t="shared" si="1117"/>
        <v>66782</v>
      </c>
      <c r="H722" s="379">
        <f t="shared" si="1118"/>
        <v>24056</v>
      </c>
      <c r="I722" s="379">
        <f t="shared" si="1119"/>
        <v>515.21</v>
      </c>
      <c r="J722" s="379" t="str">
        <f t="shared" si="1120"/>
        <v>Y</v>
      </c>
      <c r="K722" s="379">
        <f t="shared" si="1121"/>
        <v>22599</v>
      </c>
      <c r="L722" s="379">
        <f t="shared" si="1122"/>
        <v>0</v>
      </c>
      <c r="M722" s="379">
        <f t="shared" si="1123"/>
        <v>22599</v>
      </c>
      <c r="N722" s="379">
        <f t="shared" si="1124"/>
        <v>13180</v>
      </c>
      <c r="O722" s="379">
        <f t="shared" si="1125"/>
        <v>0</v>
      </c>
      <c r="P722" s="379" t="str">
        <f t="shared" si="1126"/>
        <v>Y</v>
      </c>
      <c r="Q722" s="379" t="str">
        <f t="shared" si="1127"/>
        <v>Y</v>
      </c>
      <c r="R722" s="379" t="str">
        <f t="shared" si="1128"/>
        <v>Hawkesbury City Waste Management Facility</v>
      </c>
      <c r="S722" s="379">
        <f t="shared" si="1129"/>
        <v>0</v>
      </c>
      <c r="T722" s="379">
        <f t="shared" si="1130"/>
        <v>0</v>
      </c>
      <c r="U722" s="379">
        <f t="shared" si="1131"/>
        <v>0</v>
      </c>
      <c r="V722" s="379">
        <f t="shared" si="1132"/>
        <v>0</v>
      </c>
      <c r="W722" s="379">
        <f t="shared" si="1133"/>
        <v>0</v>
      </c>
      <c r="X722" s="379">
        <f t="shared" si="1134"/>
        <v>0</v>
      </c>
      <c r="Y722" s="379">
        <f t="shared" si="1135"/>
        <v>0</v>
      </c>
      <c r="Z722" s="379">
        <f t="shared" si="1136"/>
        <v>0</v>
      </c>
      <c r="AA722" s="379">
        <f t="shared" si="1137"/>
        <v>0</v>
      </c>
      <c r="AB722" s="379">
        <f t="shared" si="1138"/>
        <v>0</v>
      </c>
      <c r="AC722" s="379">
        <f t="shared" si="1139"/>
        <v>0</v>
      </c>
      <c r="AD722" s="379">
        <f t="shared" si="1140"/>
        <v>0</v>
      </c>
      <c r="AE722" s="379">
        <f t="shared" si="1141"/>
        <v>0</v>
      </c>
      <c r="AF722" s="379">
        <f t="shared" si="1142"/>
        <v>0</v>
      </c>
      <c r="AG722" s="379">
        <f t="shared" si="1143"/>
        <v>0</v>
      </c>
      <c r="AH722" s="379">
        <f t="shared" si="1144"/>
        <v>0</v>
      </c>
      <c r="AI722" s="379">
        <f t="shared" si="1145"/>
        <v>0</v>
      </c>
      <c r="AJ722" s="379">
        <f t="shared" si="1146"/>
        <v>0</v>
      </c>
      <c r="AK722" s="379">
        <f t="shared" si="1147"/>
        <v>0</v>
      </c>
      <c r="AL722" s="379">
        <f t="shared" si="1148"/>
        <v>0</v>
      </c>
      <c r="AM722" s="379">
        <f t="shared" si="1149"/>
        <v>0</v>
      </c>
      <c r="AN722" s="490">
        <f t="shared" si="1150"/>
        <v>0</v>
      </c>
      <c r="AO722" s="379">
        <f t="shared" si="1151"/>
        <v>0</v>
      </c>
      <c r="AP722" s="379">
        <f t="shared" si="1152"/>
        <v>0</v>
      </c>
      <c r="AQ722" s="379">
        <f t="shared" si="1153"/>
        <v>0</v>
      </c>
      <c r="AR722" s="379">
        <f t="shared" si="1154"/>
        <v>0</v>
      </c>
      <c r="AS722" s="379">
        <f t="shared" si="1155"/>
        <v>0</v>
      </c>
      <c r="AT722" s="379">
        <f t="shared" si="1156"/>
        <v>0</v>
      </c>
      <c r="AU722" s="379">
        <f t="shared" si="1157"/>
        <v>0</v>
      </c>
      <c r="AV722" s="379">
        <f t="shared" si="1158"/>
        <v>0</v>
      </c>
      <c r="AW722" s="379">
        <f t="shared" si="1159"/>
        <v>0</v>
      </c>
      <c r="AX722" s="379">
        <f t="shared" si="1160"/>
        <v>0</v>
      </c>
      <c r="AY722" s="379">
        <f t="shared" si="1161"/>
        <v>0</v>
      </c>
    </row>
    <row r="723" spans="1:51" x14ac:dyDescent="0.2">
      <c r="A723" s="376">
        <v>14900</v>
      </c>
      <c r="B723" s="378" t="str">
        <f t="shared" si="1114"/>
        <v>Liverpool (C)</v>
      </c>
      <c r="C723" s="377" t="str">
        <f t="shared" si="1115"/>
        <v>WSROC</v>
      </c>
      <c r="D723" s="503" t="str">
        <f t="shared" si="1116"/>
        <v>S</v>
      </c>
      <c r="E723" s="503"/>
      <c r="F723"/>
      <c r="G723" s="379">
        <f t="shared" si="1117"/>
        <v>210113</v>
      </c>
      <c r="H723" s="379">
        <f t="shared" si="1118"/>
        <v>63921</v>
      </c>
      <c r="I723" s="379">
        <f t="shared" si="1119"/>
        <v>411</v>
      </c>
      <c r="J723" s="379" t="str">
        <f t="shared" si="1120"/>
        <v>Y</v>
      </c>
      <c r="K723" s="379">
        <f t="shared" si="1121"/>
        <v>63985</v>
      </c>
      <c r="L723" s="379" t="str">
        <f t="shared" si="1122"/>
        <v>Y</v>
      </c>
      <c r="M723" s="379">
        <f t="shared" si="1123"/>
        <v>63043</v>
      </c>
      <c r="N723" s="379">
        <f t="shared" si="1124"/>
        <v>52675</v>
      </c>
      <c r="O723" s="379">
        <f t="shared" si="1125"/>
        <v>0</v>
      </c>
      <c r="P723" s="379" t="str">
        <f t="shared" si="1126"/>
        <v>Y</v>
      </c>
      <c r="Q723" s="379" t="str">
        <f t="shared" si="1127"/>
        <v>Y</v>
      </c>
      <c r="R723" s="379" t="str">
        <f t="shared" si="1128"/>
        <v>Liverpool CRC</v>
      </c>
      <c r="S723" s="379">
        <f t="shared" si="1129"/>
        <v>0</v>
      </c>
      <c r="T723" s="379">
        <f t="shared" si="1130"/>
        <v>0</v>
      </c>
      <c r="U723" s="379">
        <f t="shared" si="1131"/>
        <v>0</v>
      </c>
      <c r="V723" s="379">
        <f t="shared" si="1132"/>
        <v>0</v>
      </c>
      <c r="W723" s="379">
        <f t="shared" si="1133"/>
        <v>0</v>
      </c>
      <c r="X723" s="379">
        <f t="shared" si="1134"/>
        <v>0</v>
      </c>
      <c r="Y723" s="379">
        <f t="shared" si="1135"/>
        <v>0</v>
      </c>
      <c r="Z723" s="379">
        <f t="shared" si="1136"/>
        <v>0</v>
      </c>
      <c r="AA723" s="379">
        <f t="shared" si="1137"/>
        <v>0</v>
      </c>
      <c r="AB723" s="379">
        <f t="shared" si="1138"/>
        <v>0</v>
      </c>
      <c r="AC723" s="379">
        <f t="shared" si="1139"/>
        <v>0</v>
      </c>
      <c r="AD723" s="379">
        <f t="shared" si="1140"/>
        <v>0</v>
      </c>
      <c r="AE723" s="379">
        <f t="shared" si="1141"/>
        <v>0</v>
      </c>
      <c r="AF723" s="379">
        <f t="shared" si="1142"/>
        <v>0</v>
      </c>
      <c r="AG723" s="379">
        <f t="shared" si="1143"/>
        <v>0</v>
      </c>
      <c r="AH723" s="379">
        <f t="shared" si="1144"/>
        <v>0</v>
      </c>
      <c r="AI723" s="379">
        <f t="shared" si="1145"/>
        <v>0</v>
      </c>
      <c r="AJ723" s="379">
        <f t="shared" si="1146"/>
        <v>0</v>
      </c>
      <c r="AK723" s="379">
        <f t="shared" si="1147"/>
        <v>0</v>
      </c>
      <c r="AL723" s="379">
        <f t="shared" si="1148"/>
        <v>0</v>
      </c>
      <c r="AM723" s="379">
        <f t="shared" si="1149"/>
        <v>0</v>
      </c>
      <c r="AN723" s="490">
        <f t="shared" si="1150"/>
        <v>0</v>
      </c>
      <c r="AO723" s="379">
        <f t="shared" si="1151"/>
        <v>0</v>
      </c>
      <c r="AP723" s="379">
        <f t="shared" si="1152"/>
        <v>0</v>
      </c>
      <c r="AQ723" s="379">
        <f t="shared" si="1153"/>
        <v>0</v>
      </c>
      <c r="AR723" s="379">
        <f t="shared" si="1154"/>
        <v>0</v>
      </c>
      <c r="AS723" s="379">
        <f t="shared" si="1155"/>
        <v>0</v>
      </c>
      <c r="AT723" s="379">
        <f t="shared" si="1156"/>
        <v>0</v>
      </c>
      <c r="AU723" s="379">
        <f t="shared" si="1157"/>
        <v>0</v>
      </c>
      <c r="AV723" s="379">
        <f t="shared" si="1158"/>
        <v>0</v>
      </c>
      <c r="AW723" s="379">
        <f t="shared" si="1159"/>
        <v>0</v>
      </c>
      <c r="AX723" s="379">
        <f t="shared" si="1160"/>
        <v>0</v>
      </c>
      <c r="AY723" s="379">
        <f t="shared" si="1161"/>
        <v>0</v>
      </c>
    </row>
    <row r="724" spans="1:51" x14ac:dyDescent="0.2">
      <c r="A724" s="376">
        <v>16260</v>
      </c>
      <c r="B724" s="378" t="str">
        <f t="shared" si="1114"/>
        <v>Parramatta (C)</v>
      </c>
      <c r="C724" s="377" t="str">
        <f t="shared" si="1115"/>
        <v>WSROC</v>
      </c>
      <c r="D724" s="503" t="str">
        <f t="shared" si="1116"/>
        <v>S</v>
      </c>
      <c r="E724" s="503"/>
      <c r="F724"/>
      <c r="G724" s="379">
        <f t="shared" si="1117"/>
        <v>235981</v>
      </c>
      <c r="H724" s="379">
        <f t="shared" si="1118"/>
        <v>65000</v>
      </c>
      <c r="I724" s="379">
        <f t="shared" si="1119"/>
        <v>403.5</v>
      </c>
      <c r="J724" s="379" t="str">
        <f t="shared" si="1120"/>
        <v>Y</v>
      </c>
      <c r="K724" s="379">
        <f t="shared" si="1121"/>
        <v>61908</v>
      </c>
      <c r="L724" s="379" t="str">
        <f t="shared" si="1122"/>
        <v>Y</v>
      </c>
      <c r="M724" s="379">
        <f t="shared" si="1123"/>
        <v>54263</v>
      </c>
      <c r="N724" s="379">
        <f t="shared" si="1124"/>
        <v>38949</v>
      </c>
      <c r="O724" s="379">
        <f t="shared" si="1125"/>
        <v>0</v>
      </c>
      <c r="P724" s="379" t="str">
        <f t="shared" si="1126"/>
        <v>Y</v>
      </c>
      <c r="Q724" s="379">
        <f t="shared" si="1127"/>
        <v>0</v>
      </c>
      <c r="R724" s="379">
        <f t="shared" si="1128"/>
        <v>0</v>
      </c>
      <c r="S724" s="379">
        <f t="shared" si="1129"/>
        <v>0</v>
      </c>
      <c r="T724" s="379">
        <f t="shared" si="1130"/>
        <v>0</v>
      </c>
      <c r="U724" s="379">
        <f t="shared" si="1131"/>
        <v>0</v>
      </c>
      <c r="V724" s="379">
        <f t="shared" si="1132"/>
        <v>0</v>
      </c>
      <c r="W724" s="379">
        <f t="shared" si="1133"/>
        <v>0</v>
      </c>
      <c r="X724" s="379">
        <f t="shared" si="1134"/>
        <v>0</v>
      </c>
      <c r="Y724" s="379">
        <f t="shared" si="1135"/>
        <v>0</v>
      </c>
      <c r="Z724" s="379">
        <f t="shared" si="1136"/>
        <v>0</v>
      </c>
      <c r="AA724" s="379">
        <f t="shared" si="1137"/>
        <v>0</v>
      </c>
      <c r="AB724" s="379">
        <f t="shared" si="1138"/>
        <v>0</v>
      </c>
      <c r="AC724" s="379">
        <f t="shared" si="1139"/>
        <v>0</v>
      </c>
      <c r="AD724" s="379">
        <f t="shared" si="1140"/>
        <v>0</v>
      </c>
      <c r="AE724" s="379">
        <f t="shared" si="1141"/>
        <v>0</v>
      </c>
      <c r="AF724" s="379">
        <f t="shared" si="1142"/>
        <v>0</v>
      </c>
      <c r="AG724" s="379">
        <f t="shared" si="1143"/>
        <v>0</v>
      </c>
      <c r="AH724" s="379">
        <f t="shared" si="1144"/>
        <v>0</v>
      </c>
      <c r="AI724" s="379">
        <f t="shared" si="1145"/>
        <v>0</v>
      </c>
      <c r="AJ724" s="379">
        <f t="shared" si="1146"/>
        <v>0</v>
      </c>
      <c r="AK724" s="379">
        <f t="shared" si="1147"/>
        <v>0</v>
      </c>
      <c r="AL724" s="379">
        <f t="shared" si="1148"/>
        <v>0</v>
      </c>
      <c r="AM724" s="379">
        <f t="shared" si="1149"/>
        <v>0</v>
      </c>
      <c r="AN724" s="490">
        <f t="shared" si="1150"/>
        <v>0</v>
      </c>
      <c r="AO724" s="379">
        <f t="shared" si="1151"/>
        <v>0</v>
      </c>
      <c r="AP724" s="379">
        <f t="shared" si="1152"/>
        <v>0</v>
      </c>
      <c r="AQ724" s="379">
        <f t="shared" si="1153"/>
        <v>0</v>
      </c>
      <c r="AR724" s="379">
        <f t="shared" si="1154"/>
        <v>0</v>
      </c>
      <c r="AS724" s="379">
        <f t="shared" si="1155"/>
        <v>0</v>
      </c>
      <c r="AT724" s="379">
        <f t="shared" si="1156"/>
        <v>0</v>
      </c>
      <c r="AU724" s="379">
        <f t="shared" si="1157"/>
        <v>0</v>
      </c>
      <c r="AV724" s="379">
        <f t="shared" si="1158"/>
        <v>0</v>
      </c>
      <c r="AW724" s="379">
        <f t="shared" si="1159"/>
        <v>0</v>
      </c>
      <c r="AX724" s="379">
        <f t="shared" si="1160"/>
        <v>0</v>
      </c>
      <c r="AY724" s="379">
        <f t="shared" si="1161"/>
        <v>0</v>
      </c>
    </row>
    <row r="725" spans="1:51" x14ac:dyDescent="0.2">
      <c r="A725" s="376">
        <v>16350</v>
      </c>
      <c r="B725" s="378" t="str">
        <f t="shared" si="1114"/>
        <v>Penrith (C)</v>
      </c>
      <c r="C725" s="377" t="str">
        <f t="shared" si="1115"/>
        <v>WSROC</v>
      </c>
      <c r="D725" s="503" t="str">
        <f t="shared" si="1116"/>
        <v>S</v>
      </c>
      <c r="E725" s="503"/>
      <c r="F725"/>
      <c r="G725" s="379">
        <f t="shared" si="1117"/>
        <v>202076</v>
      </c>
      <c r="H725" s="379">
        <f t="shared" si="1118"/>
        <v>72414</v>
      </c>
      <c r="I725" s="379">
        <f t="shared" si="1119"/>
        <v>384</v>
      </c>
      <c r="J725" s="379" t="str">
        <f t="shared" si="1120"/>
        <v>Y</v>
      </c>
      <c r="K725" s="379">
        <f t="shared" si="1121"/>
        <v>72414</v>
      </c>
      <c r="L725" s="379" t="str">
        <f t="shared" si="1122"/>
        <v>Y</v>
      </c>
      <c r="M725" s="379">
        <f t="shared" si="1123"/>
        <v>72414</v>
      </c>
      <c r="N725" s="379">
        <f t="shared" si="1124"/>
        <v>0</v>
      </c>
      <c r="O725" s="379">
        <f t="shared" si="1125"/>
        <v>56140</v>
      </c>
      <c r="P725" s="379" t="str">
        <f t="shared" si="1126"/>
        <v>Y</v>
      </c>
      <c r="Q725" s="379" t="str">
        <f t="shared" si="1127"/>
        <v>Y</v>
      </c>
      <c r="R725" s="379" t="str">
        <f t="shared" si="1128"/>
        <v>Libraries</v>
      </c>
      <c r="S725" s="379">
        <f t="shared" si="1129"/>
        <v>0</v>
      </c>
      <c r="T725" s="379">
        <f t="shared" si="1130"/>
        <v>0</v>
      </c>
      <c r="U725" s="379">
        <f t="shared" si="1131"/>
        <v>0</v>
      </c>
      <c r="V725" s="379">
        <f t="shared" si="1132"/>
        <v>0</v>
      </c>
      <c r="W725" s="379">
        <f t="shared" si="1133"/>
        <v>0</v>
      </c>
      <c r="X725" s="379">
        <f t="shared" si="1134"/>
        <v>0</v>
      </c>
      <c r="Y725" s="379">
        <f t="shared" si="1135"/>
        <v>0</v>
      </c>
      <c r="Z725" s="379">
        <f t="shared" si="1136"/>
        <v>0</v>
      </c>
      <c r="AA725" s="379">
        <f t="shared" si="1137"/>
        <v>0</v>
      </c>
      <c r="AB725" s="379">
        <f t="shared" si="1138"/>
        <v>0</v>
      </c>
      <c r="AC725" s="379">
        <f t="shared" si="1139"/>
        <v>0</v>
      </c>
      <c r="AD725" s="379">
        <f t="shared" si="1140"/>
        <v>0</v>
      </c>
      <c r="AE725" s="379">
        <f t="shared" si="1141"/>
        <v>0</v>
      </c>
      <c r="AF725" s="379">
        <f t="shared" si="1142"/>
        <v>0</v>
      </c>
      <c r="AG725" s="379">
        <f t="shared" si="1143"/>
        <v>0</v>
      </c>
      <c r="AH725" s="379">
        <f t="shared" si="1144"/>
        <v>0</v>
      </c>
      <c r="AI725" s="379">
        <f t="shared" si="1145"/>
        <v>0</v>
      </c>
      <c r="AJ725" s="379">
        <f t="shared" si="1146"/>
        <v>0</v>
      </c>
      <c r="AK725" s="379">
        <f t="shared" si="1147"/>
        <v>0</v>
      </c>
      <c r="AL725" s="379">
        <f t="shared" si="1148"/>
        <v>0</v>
      </c>
      <c r="AM725" s="379">
        <f t="shared" si="1149"/>
        <v>0</v>
      </c>
      <c r="AN725" s="490">
        <f t="shared" si="1150"/>
        <v>0</v>
      </c>
      <c r="AO725" s="379">
        <f t="shared" si="1151"/>
        <v>0</v>
      </c>
      <c r="AP725" s="379">
        <f t="shared" si="1152"/>
        <v>0</v>
      </c>
      <c r="AQ725" s="379">
        <f t="shared" si="1153"/>
        <v>0</v>
      </c>
      <c r="AR725" s="379">
        <f t="shared" si="1154"/>
        <v>0</v>
      </c>
      <c r="AS725" s="379">
        <f t="shared" si="1155"/>
        <v>0</v>
      </c>
      <c r="AT725" s="379">
        <f t="shared" si="1156"/>
        <v>0</v>
      </c>
      <c r="AU725" s="379">
        <f t="shared" si="1157"/>
        <v>0</v>
      </c>
      <c r="AV725" s="379">
        <f t="shared" si="1158"/>
        <v>0</v>
      </c>
      <c r="AW725" s="379">
        <f t="shared" si="1159"/>
        <v>0</v>
      </c>
      <c r="AX725" s="379">
        <f t="shared" si="1160"/>
        <v>0</v>
      </c>
      <c r="AY725" s="379">
        <f t="shared" si="1161"/>
        <v>0</v>
      </c>
    </row>
    <row r="726" spans="1:51" ht="13.5" thickBot="1" x14ac:dyDescent="0.25">
      <c r="A726" s="376">
        <v>17420</v>
      </c>
      <c r="B726" s="378" t="str">
        <f t="shared" si="1114"/>
        <v>The Hills Shire (A)</v>
      </c>
      <c r="C726" s="377" t="str">
        <f t="shared" si="1115"/>
        <v>WSROC</v>
      </c>
      <c r="D726" s="503" t="str">
        <f t="shared" si="1116"/>
        <v>S</v>
      </c>
      <c r="E726" s="503"/>
      <c r="F726"/>
      <c r="G726" s="379">
        <f t="shared" si="1117"/>
        <v>164802</v>
      </c>
      <c r="H726" s="379">
        <f t="shared" si="1118"/>
        <v>52761</v>
      </c>
      <c r="I726" s="379">
        <f t="shared" si="1119"/>
        <v>405</v>
      </c>
      <c r="J726" s="379" t="str">
        <f t="shared" si="1120"/>
        <v>Y</v>
      </c>
      <c r="K726" s="379">
        <f t="shared" si="1121"/>
        <v>48233</v>
      </c>
      <c r="L726" s="379">
        <f t="shared" si="1122"/>
        <v>0</v>
      </c>
      <c r="M726" s="379">
        <f t="shared" si="1123"/>
        <v>53378</v>
      </c>
      <c r="N726" s="379">
        <f t="shared" si="1124"/>
        <v>42526</v>
      </c>
      <c r="O726" s="379">
        <f t="shared" si="1125"/>
        <v>0</v>
      </c>
      <c r="P726" s="379" t="str">
        <f t="shared" si="1126"/>
        <v>Y</v>
      </c>
      <c r="Q726" s="379" t="str">
        <f t="shared" si="1127"/>
        <v>Y</v>
      </c>
      <c r="R726" s="379" t="str">
        <f t="shared" si="1128"/>
        <v>SUEZ Seven Hills</v>
      </c>
      <c r="S726" s="379">
        <f t="shared" si="1129"/>
        <v>0</v>
      </c>
      <c r="T726" s="379">
        <f t="shared" si="1130"/>
        <v>0</v>
      </c>
      <c r="U726" s="379">
        <f t="shared" si="1131"/>
        <v>0</v>
      </c>
      <c r="V726" s="379">
        <f t="shared" si="1132"/>
        <v>0</v>
      </c>
      <c r="W726" s="379">
        <f t="shared" si="1133"/>
        <v>0</v>
      </c>
      <c r="X726" s="379">
        <f t="shared" si="1134"/>
        <v>0</v>
      </c>
      <c r="Y726" s="379">
        <f t="shared" si="1135"/>
        <v>0</v>
      </c>
      <c r="Z726" s="379">
        <f t="shared" si="1136"/>
        <v>0</v>
      </c>
      <c r="AA726" s="379">
        <f t="shared" si="1137"/>
        <v>0</v>
      </c>
      <c r="AB726" s="379">
        <f t="shared" si="1138"/>
        <v>0</v>
      </c>
      <c r="AC726" s="379">
        <f t="shared" si="1139"/>
        <v>0</v>
      </c>
      <c r="AD726" s="379">
        <f t="shared" si="1140"/>
        <v>0</v>
      </c>
      <c r="AE726" s="379">
        <f t="shared" si="1141"/>
        <v>0</v>
      </c>
      <c r="AF726" s="379">
        <f t="shared" si="1142"/>
        <v>0</v>
      </c>
      <c r="AG726" s="379">
        <f t="shared" si="1143"/>
        <v>0</v>
      </c>
      <c r="AH726" s="379">
        <f t="shared" si="1144"/>
        <v>0</v>
      </c>
      <c r="AI726" s="379">
        <f t="shared" si="1145"/>
        <v>0</v>
      </c>
      <c r="AJ726" s="379">
        <f t="shared" si="1146"/>
        <v>0</v>
      </c>
      <c r="AK726" s="379">
        <f t="shared" si="1147"/>
        <v>0</v>
      </c>
      <c r="AL726" s="379">
        <f t="shared" si="1148"/>
        <v>0</v>
      </c>
      <c r="AM726" s="379">
        <f t="shared" si="1149"/>
        <v>0</v>
      </c>
      <c r="AN726" s="490">
        <f t="shared" si="1150"/>
        <v>0</v>
      </c>
      <c r="AO726" s="379">
        <f t="shared" si="1151"/>
        <v>0</v>
      </c>
      <c r="AP726" s="379">
        <f t="shared" si="1152"/>
        <v>0</v>
      </c>
      <c r="AQ726" s="379">
        <f t="shared" si="1153"/>
        <v>0</v>
      </c>
      <c r="AR726" s="379">
        <f t="shared" si="1154"/>
        <v>0</v>
      </c>
      <c r="AS726" s="379">
        <f t="shared" si="1155"/>
        <v>0</v>
      </c>
      <c r="AT726" s="379">
        <f t="shared" si="1156"/>
        <v>0</v>
      </c>
      <c r="AU726" s="379">
        <f t="shared" si="1157"/>
        <v>0</v>
      </c>
      <c r="AV726" s="379">
        <f t="shared" si="1158"/>
        <v>0</v>
      </c>
      <c r="AW726" s="379">
        <f t="shared" si="1159"/>
        <v>0</v>
      </c>
      <c r="AX726" s="379">
        <f t="shared" si="1160"/>
        <v>0</v>
      </c>
      <c r="AY726" s="379">
        <f t="shared" si="1161"/>
        <v>0</v>
      </c>
    </row>
    <row r="727" spans="1:51" ht="13.5" thickTop="1" x14ac:dyDescent="0.2">
      <c r="A727" s="380"/>
      <c r="B727" s="380"/>
      <c r="C727" s="380" t="s">
        <v>264</v>
      </c>
      <c r="D727" s="380"/>
      <c r="E727" s="484"/>
      <c r="F727" s="381"/>
      <c r="G727" s="382">
        <f t="shared" ref="G727:AY727" si="1162">COUNTIF(G718:G726,"&gt;0")</f>
        <v>9</v>
      </c>
      <c r="H727" s="382">
        <f t="shared" si="1162"/>
        <v>9</v>
      </c>
      <c r="I727" s="382">
        <f t="shared" si="1162"/>
        <v>9</v>
      </c>
      <c r="J727" s="382">
        <f t="shared" si="1162"/>
        <v>0</v>
      </c>
      <c r="K727" s="382">
        <f t="shared" si="1162"/>
        <v>9</v>
      </c>
      <c r="L727" s="382">
        <f t="shared" si="1162"/>
        <v>0</v>
      </c>
      <c r="M727" s="382">
        <f t="shared" si="1162"/>
        <v>9</v>
      </c>
      <c r="N727" s="382">
        <f t="shared" si="1162"/>
        <v>6</v>
      </c>
      <c r="O727" s="382">
        <f t="shared" si="1162"/>
        <v>1</v>
      </c>
      <c r="P727" s="382">
        <f t="shared" si="1162"/>
        <v>0</v>
      </c>
      <c r="Q727" s="382">
        <f t="shared" si="1162"/>
        <v>0</v>
      </c>
      <c r="R727" s="382">
        <f t="shared" si="1162"/>
        <v>0</v>
      </c>
      <c r="S727" s="382">
        <f t="shared" si="1162"/>
        <v>0</v>
      </c>
      <c r="T727" s="382">
        <f t="shared" si="1162"/>
        <v>0</v>
      </c>
      <c r="U727" s="382">
        <f t="shared" si="1162"/>
        <v>0</v>
      </c>
      <c r="V727" s="382">
        <f t="shared" si="1162"/>
        <v>0</v>
      </c>
      <c r="W727" s="382">
        <f t="shared" si="1162"/>
        <v>0</v>
      </c>
      <c r="X727" s="382">
        <f t="shared" si="1162"/>
        <v>0</v>
      </c>
      <c r="Y727" s="382">
        <f t="shared" si="1162"/>
        <v>0</v>
      </c>
      <c r="Z727" s="382">
        <f t="shared" si="1162"/>
        <v>0</v>
      </c>
      <c r="AA727" s="382">
        <f t="shared" si="1162"/>
        <v>0</v>
      </c>
      <c r="AB727" s="382">
        <f t="shared" si="1162"/>
        <v>0</v>
      </c>
      <c r="AC727" s="382">
        <f t="shared" si="1162"/>
        <v>0</v>
      </c>
      <c r="AD727" s="382">
        <f t="shared" si="1162"/>
        <v>0</v>
      </c>
      <c r="AE727" s="382">
        <f t="shared" si="1162"/>
        <v>0</v>
      </c>
      <c r="AF727" s="382">
        <f t="shared" si="1162"/>
        <v>0</v>
      </c>
      <c r="AG727" s="382">
        <f t="shared" si="1162"/>
        <v>0</v>
      </c>
      <c r="AH727" s="382">
        <f t="shared" si="1162"/>
        <v>0</v>
      </c>
      <c r="AI727" s="382">
        <f t="shared" si="1162"/>
        <v>0</v>
      </c>
      <c r="AJ727" s="382">
        <f t="shared" si="1162"/>
        <v>0</v>
      </c>
      <c r="AK727" s="382">
        <f t="shared" si="1162"/>
        <v>0</v>
      </c>
      <c r="AL727" s="382">
        <f t="shared" si="1162"/>
        <v>0</v>
      </c>
      <c r="AM727" s="382">
        <f t="shared" si="1162"/>
        <v>0</v>
      </c>
      <c r="AN727" s="485">
        <f t="shared" si="1162"/>
        <v>0</v>
      </c>
      <c r="AO727" s="382">
        <f t="shared" si="1162"/>
        <v>0</v>
      </c>
      <c r="AP727" s="382">
        <f t="shared" si="1162"/>
        <v>0</v>
      </c>
      <c r="AQ727" s="382">
        <f t="shared" si="1162"/>
        <v>0</v>
      </c>
      <c r="AR727" s="382">
        <f t="shared" si="1162"/>
        <v>0</v>
      </c>
      <c r="AS727" s="382">
        <f t="shared" si="1162"/>
        <v>0</v>
      </c>
      <c r="AT727" s="382">
        <f t="shared" si="1162"/>
        <v>0</v>
      </c>
      <c r="AU727" s="382">
        <f t="shared" si="1162"/>
        <v>0</v>
      </c>
      <c r="AV727" s="382">
        <f t="shared" si="1162"/>
        <v>0</v>
      </c>
      <c r="AW727" s="382">
        <f t="shared" si="1162"/>
        <v>0</v>
      </c>
      <c r="AX727" s="382">
        <f t="shared" si="1162"/>
        <v>0</v>
      </c>
      <c r="AY727" s="382">
        <f t="shared" si="1162"/>
        <v>0</v>
      </c>
    </row>
    <row r="728" spans="1:51" x14ac:dyDescent="0.2">
      <c r="A728" s="376"/>
      <c r="B728" s="376"/>
      <c r="C728" s="376" t="s">
        <v>265</v>
      </c>
      <c r="D728" s="376"/>
      <c r="E728" s="488"/>
      <c r="F728" s="384"/>
      <c r="G728" s="385">
        <f>SUM(G718:G726)</f>
        <v>1737744</v>
      </c>
      <c r="H728" s="385">
        <f t="shared" ref="H728:AY728" si="1163">SUM(H718:H726)</f>
        <v>570629</v>
      </c>
      <c r="I728" s="385">
        <f t="shared" si="1163"/>
        <v>3906.35</v>
      </c>
      <c r="J728" s="385">
        <f t="shared" si="1163"/>
        <v>0</v>
      </c>
      <c r="K728" s="385">
        <f t="shared" si="1163"/>
        <v>535580</v>
      </c>
      <c r="L728" s="385">
        <f t="shared" si="1163"/>
        <v>0</v>
      </c>
      <c r="M728" s="385">
        <f t="shared" si="1163"/>
        <v>533356</v>
      </c>
      <c r="N728" s="385">
        <f t="shared" si="1163"/>
        <v>203683</v>
      </c>
      <c r="O728" s="385">
        <f t="shared" si="1163"/>
        <v>56140</v>
      </c>
      <c r="P728" s="385">
        <f t="shared" si="1163"/>
        <v>0</v>
      </c>
      <c r="Q728" s="385">
        <f t="shared" si="1163"/>
        <v>0</v>
      </c>
      <c r="R728" s="385">
        <f t="shared" si="1163"/>
        <v>0</v>
      </c>
      <c r="S728" s="385">
        <f t="shared" si="1163"/>
        <v>0</v>
      </c>
      <c r="T728" s="385">
        <f t="shared" si="1163"/>
        <v>0</v>
      </c>
      <c r="U728" s="385">
        <f t="shared" si="1163"/>
        <v>0</v>
      </c>
      <c r="V728" s="385">
        <f t="shared" si="1163"/>
        <v>0</v>
      </c>
      <c r="W728" s="385">
        <f t="shared" si="1163"/>
        <v>0</v>
      </c>
      <c r="X728" s="385">
        <f t="shared" si="1163"/>
        <v>0</v>
      </c>
      <c r="Y728" s="385">
        <f t="shared" si="1163"/>
        <v>0</v>
      </c>
      <c r="Z728" s="385">
        <f t="shared" si="1163"/>
        <v>0</v>
      </c>
      <c r="AA728" s="385">
        <f t="shared" si="1163"/>
        <v>0</v>
      </c>
      <c r="AB728" s="385">
        <f t="shared" si="1163"/>
        <v>0</v>
      </c>
      <c r="AC728" s="385">
        <f t="shared" si="1163"/>
        <v>0</v>
      </c>
      <c r="AD728" s="385">
        <f t="shared" si="1163"/>
        <v>0</v>
      </c>
      <c r="AE728" s="385">
        <f t="shared" si="1163"/>
        <v>0</v>
      </c>
      <c r="AF728" s="385">
        <f t="shared" si="1163"/>
        <v>0</v>
      </c>
      <c r="AG728" s="385">
        <f t="shared" si="1163"/>
        <v>0</v>
      </c>
      <c r="AH728" s="385">
        <f t="shared" si="1163"/>
        <v>0</v>
      </c>
      <c r="AI728" s="385">
        <f t="shared" si="1163"/>
        <v>0</v>
      </c>
      <c r="AJ728" s="385">
        <f t="shared" si="1163"/>
        <v>0</v>
      </c>
      <c r="AK728" s="385">
        <f t="shared" si="1163"/>
        <v>0</v>
      </c>
      <c r="AL728" s="385">
        <f t="shared" si="1163"/>
        <v>0</v>
      </c>
      <c r="AM728" s="385">
        <f t="shared" si="1163"/>
        <v>0</v>
      </c>
      <c r="AN728" s="489">
        <f t="shared" si="1163"/>
        <v>0</v>
      </c>
      <c r="AO728" s="385">
        <f t="shared" si="1163"/>
        <v>0</v>
      </c>
      <c r="AP728" s="385">
        <f t="shared" si="1163"/>
        <v>0</v>
      </c>
      <c r="AQ728" s="385">
        <f t="shared" si="1163"/>
        <v>0</v>
      </c>
      <c r="AR728" s="385">
        <f t="shared" si="1163"/>
        <v>0</v>
      </c>
      <c r="AS728" s="385">
        <f t="shared" si="1163"/>
        <v>0</v>
      </c>
      <c r="AT728" s="385">
        <f t="shared" si="1163"/>
        <v>0</v>
      </c>
      <c r="AU728" s="385">
        <f t="shared" si="1163"/>
        <v>0</v>
      </c>
      <c r="AV728" s="385">
        <f t="shared" si="1163"/>
        <v>0</v>
      </c>
      <c r="AW728" s="385">
        <f t="shared" si="1163"/>
        <v>0</v>
      </c>
      <c r="AX728" s="385">
        <f t="shared" si="1163"/>
        <v>0</v>
      </c>
      <c r="AY728" s="385">
        <f t="shared" si="1163"/>
        <v>0</v>
      </c>
    </row>
    <row r="729" spans="1:51" x14ac:dyDescent="0.2">
      <c r="A729" s="376"/>
      <c r="B729" s="376"/>
      <c r="C729" s="376" t="s">
        <v>266</v>
      </c>
      <c r="D729" s="376"/>
      <c r="E729" s="488"/>
      <c r="F729" s="384"/>
      <c r="G729" s="379">
        <f t="shared" ref="G729:AY729" si="1164">MIN(G718:G726)</f>
        <v>66782</v>
      </c>
      <c r="H729" s="379">
        <f t="shared" si="1164"/>
        <v>24056</v>
      </c>
      <c r="I729" s="379">
        <f t="shared" si="1164"/>
        <v>384</v>
      </c>
      <c r="J729" s="379">
        <f t="shared" si="1164"/>
        <v>0</v>
      </c>
      <c r="K729" s="379">
        <f t="shared" si="1164"/>
        <v>22599</v>
      </c>
      <c r="L729" s="379">
        <f t="shared" si="1164"/>
        <v>0</v>
      </c>
      <c r="M729" s="379">
        <f t="shared" si="1164"/>
        <v>22599</v>
      </c>
      <c r="N729" s="379">
        <f t="shared" si="1164"/>
        <v>0</v>
      </c>
      <c r="O729" s="379">
        <f t="shared" si="1164"/>
        <v>0</v>
      </c>
      <c r="P729" s="379">
        <f t="shared" si="1164"/>
        <v>0</v>
      </c>
      <c r="Q729" s="379">
        <f t="shared" si="1164"/>
        <v>0</v>
      </c>
      <c r="R729" s="379">
        <f t="shared" si="1164"/>
        <v>0</v>
      </c>
      <c r="S729" s="379">
        <f t="shared" si="1164"/>
        <v>0</v>
      </c>
      <c r="T729" s="379">
        <f t="shared" si="1164"/>
        <v>0</v>
      </c>
      <c r="U729" s="379">
        <f t="shared" si="1164"/>
        <v>0</v>
      </c>
      <c r="V729" s="379">
        <f t="shared" si="1164"/>
        <v>0</v>
      </c>
      <c r="W729" s="379">
        <f t="shared" si="1164"/>
        <v>0</v>
      </c>
      <c r="X729" s="379">
        <f t="shared" si="1164"/>
        <v>0</v>
      </c>
      <c r="Y729" s="379">
        <f t="shared" si="1164"/>
        <v>0</v>
      </c>
      <c r="Z729" s="379">
        <f t="shared" si="1164"/>
        <v>0</v>
      </c>
      <c r="AA729" s="379">
        <f t="shared" si="1164"/>
        <v>0</v>
      </c>
      <c r="AB729" s="379">
        <f t="shared" si="1164"/>
        <v>0</v>
      </c>
      <c r="AC729" s="379">
        <f t="shared" si="1164"/>
        <v>0</v>
      </c>
      <c r="AD729" s="379">
        <f t="shared" si="1164"/>
        <v>0</v>
      </c>
      <c r="AE729" s="379">
        <f t="shared" si="1164"/>
        <v>0</v>
      </c>
      <c r="AF729" s="379">
        <f t="shared" si="1164"/>
        <v>0</v>
      </c>
      <c r="AG729" s="379">
        <f t="shared" si="1164"/>
        <v>0</v>
      </c>
      <c r="AH729" s="379">
        <f t="shared" si="1164"/>
        <v>0</v>
      </c>
      <c r="AI729" s="379">
        <f t="shared" si="1164"/>
        <v>0</v>
      </c>
      <c r="AJ729" s="379">
        <f t="shared" si="1164"/>
        <v>0</v>
      </c>
      <c r="AK729" s="379">
        <f t="shared" si="1164"/>
        <v>0</v>
      </c>
      <c r="AL729" s="379">
        <f t="shared" si="1164"/>
        <v>0</v>
      </c>
      <c r="AM729" s="379">
        <f t="shared" si="1164"/>
        <v>0</v>
      </c>
      <c r="AN729" s="490">
        <f t="shared" si="1164"/>
        <v>0</v>
      </c>
      <c r="AO729" s="379">
        <f t="shared" si="1164"/>
        <v>0</v>
      </c>
      <c r="AP729" s="379">
        <f t="shared" si="1164"/>
        <v>0</v>
      </c>
      <c r="AQ729" s="379">
        <f t="shared" si="1164"/>
        <v>0</v>
      </c>
      <c r="AR729" s="379">
        <f t="shared" si="1164"/>
        <v>0</v>
      </c>
      <c r="AS729" s="379">
        <f t="shared" si="1164"/>
        <v>0</v>
      </c>
      <c r="AT729" s="379">
        <f t="shared" si="1164"/>
        <v>0</v>
      </c>
      <c r="AU729" s="379">
        <f t="shared" si="1164"/>
        <v>0</v>
      </c>
      <c r="AV729" s="379">
        <f t="shared" si="1164"/>
        <v>0</v>
      </c>
      <c r="AW729" s="379">
        <f t="shared" si="1164"/>
        <v>0</v>
      </c>
      <c r="AX729" s="379">
        <f t="shared" si="1164"/>
        <v>0</v>
      </c>
      <c r="AY729" s="379">
        <f t="shared" si="1164"/>
        <v>0</v>
      </c>
    </row>
    <row r="730" spans="1:51" x14ac:dyDescent="0.2">
      <c r="A730" s="376"/>
      <c r="B730" s="376"/>
      <c r="C730" s="376" t="s">
        <v>267</v>
      </c>
      <c r="D730" s="376"/>
      <c r="E730" s="488"/>
      <c r="F730" s="384"/>
      <c r="G730" s="379">
        <f t="shared" ref="G730:AY730" si="1165">MAX(G718:G726)</f>
        <v>348138</v>
      </c>
      <c r="H730" s="379">
        <f t="shared" si="1165"/>
        <v>122906</v>
      </c>
      <c r="I730" s="379">
        <f t="shared" si="1165"/>
        <v>515.21</v>
      </c>
      <c r="J730" s="379">
        <f t="shared" si="1165"/>
        <v>0</v>
      </c>
      <c r="K730" s="379">
        <f t="shared" si="1165"/>
        <v>106113</v>
      </c>
      <c r="L730" s="379">
        <f t="shared" si="1165"/>
        <v>0</v>
      </c>
      <c r="M730" s="379">
        <f t="shared" si="1165"/>
        <v>105000</v>
      </c>
      <c r="N730" s="379">
        <f t="shared" si="1165"/>
        <v>52675</v>
      </c>
      <c r="O730" s="379">
        <f t="shared" si="1165"/>
        <v>56140</v>
      </c>
      <c r="P730" s="379">
        <f t="shared" si="1165"/>
        <v>0</v>
      </c>
      <c r="Q730" s="379">
        <f t="shared" si="1165"/>
        <v>0</v>
      </c>
      <c r="R730" s="379">
        <f t="shared" si="1165"/>
        <v>0</v>
      </c>
      <c r="S730" s="379">
        <f t="shared" si="1165"/>
        <v>0</v>
      </c>
      <c r="T730" s="379">
        <f t="shared" si="1165"/>
        <v>0</v>
      </c>
      <c r="U730" s="379">
        <f t="shared" si="1165"/>
        <v>0</v>
      </c>
      <c r="V730" s="379">
        <f t="shared" si="1165"/>
        <v>0</v>
      </c>
      <c r="W730" s="379">
        <f t="shared" si="1165"/>
        <v>0</v>
      </c>
      <c r="X730" s="379">
        <f t="shared" si="1165"/>
        <v>0</v>
      </c>
      <c r="Y730" s="379">
        <f t="shared" si="1165"/>
        <v>0</v>
      </c>
      <c r="Z730" s="379">
        <f t="shared" si="1165"/>
        <v>0</v>
      </c>
      <c r="AA730" s="379">
        <f t="shared" si="1165"/>
        <v>0</v>
      </c>
      <c r="AB730" s="379">
        <f t="shared" si="1165"/>
        <v>0</v>
      </c>
      <c r="AC730" s="379">
        <f t="shared" si="1165"/>
        <v>0</v>
      </c>
      <c r="AD730" s="379">
        <f t="shared" si="1165"/>
        <v>0</v>
      </c>
      <c r="AE730" s="379">
        <f t="shared" si="1165"/>
        <v>0</v>
      </c>
      <c r="AF730" s="379">
        <f t="shared" si="1165"/>
        <v>0</v>
      </c>
      <c r="AG730" s="379">
        <f t="shared" si="1165"/>
        <v>0</v>
      </c>
      <c r="AH730" s="379">
        <f t="shared" si="1165"/>
        <v>0</v>
      </c>
      <c r="AI730" s="379">
        <f t="shared" si="1165"/>
        <v>0</v>
      </c>
      <c r="AJ730" s="379">
        <f t="shared" si="1165"/>
        <v>0</v>
      </c>
      <c r="AK730" s="379">
        <f t="shared" si="1165"/>
        <v>0</v>
      </c>
      <c r="AL730" s="379">
        <f t="shared" si="1165"/>
        <v>0</v>
      </c>
      <c r="AM730" s="379">
        <f t="shared" si="1165"/>
        <v>0</v>
      </c>
      <c r="AN730" s="490">
        <f t="shared" si="1165"/>
        <v>0</v>
      </c>
      <c r="AO730" s="379">
        <f t="shared" si="1165"/>
        <v>0</v>
      </c>
      <c r="AP730" s="379">
        <f t="shared" si="1165"/>
        <v>0</v>
      </c>
      <c r="AQ730" s="379">
        <f t="shared" si="1165"/>
        <v>0</v>
      </c>
      <c r="AR730" s="379">
        <f t="shared" si="1165"/>
        <v>0</v>
      </c>
      <c r="AS730" s="379">
        <f t="shared" si="1165"/>
        <v>0</v>
      </c>
      <c r="AT730" s="379">
        <f t="shared" si="1165"/>
        <v>0</v>
      </c>
      <c r="AU730" s="379">
        <f t="shared" si="1165"/>
        <v>0</v>
      </c>
      <c r="AV730" s="379">
        <f t="shared" si="1165"/>
        <v>0</v>
      </c>
      <c r="AW730" s="379">
        <f t="shared" si="1165"/>
        <v>0</v>
      </c>
      <c r="AX730" s="379">
        <f t="shared" si="1165"/>
        <v>0</v>
      </c>
      <c r="AY730" s="379">
        <f t="shared" si="1165"/>
        <v>0</v>
      </c>
    </row>
    <row r="731" spans="1:51" x14ac:dyDescent="0.2">
      <c r="A731" s="376"/>
      <c r="B731" s="376"/>
      <c r="C731" s="376" t="s">
        <v>268</v>
      </c>
      <c r="D731" s="376"/>
      <c r="E731" s="488"/>
      <c r="F731" s="384"/>
      <c r="G731" s="379">
        <f t="shared" ref="G731:AY731" si="1166">AVERAGE(G718:G726)</f>
        <v>193082.66666666666</v>
      </c>
      <c r="H731" s="379">
        <f t="shared" si="1166"/>
        <v>63403.222222222219</v>
      </c>
      <c r="I731" s="379">
        <f t="shared" si="1166"/>
        <v>434.03888888888889</v>
      </c>
      <c r="J731" s="379" t="e">
        <f t="shared" si="1166"/>
        <v>#DIV/0!</v>
      </c>
      <c r="K731" s="379">
        <f t="shared" si="1166"/>
        <v>59508.888888888891</v>
      </c>
      <c r="L731" s="379">
        <f t="shared" si="1166"/>
        <v>0</v>
      </c>
      <c r="M731" s="379">
        <f t="shared" si="1166"/>
        <v>59261.777777777781</v>
      </c>
      <c r="N731" s="379">
        <f t="shared" si="1166"/>
        <v>22631.444444444445</v>
      </c>
      <c r="O731" s="379">
        <f t="shared" si="1166"/>
        <v>6237.7777777777774</v>
      </c>
      <c r="P731" s="379" t="e">
        <f t="shared" si="1166"/>
        <v>#DIV/0!</v>
      </c>
      <c r="Q731" s="379">
        <f t="shared" si="1166"/>
        <v>0</v>
      </c>
      <c r="R731" s="379">
        <f t="shared" si="1166"/>
        <v>0</v>
      </c>
      <c r="S731" s="379">
        <f t="shared" si="1166"/>
        <v>0</v>
      </c>
      <c r="T731" s="379">
        <f t="shared" si="1166"/>
        <v>0</v>
      </c>
      <c r="U731" s="379">
        <f t="shared" si="1166"/>
        <v>0</v>
      </c>
      <c r="V731" s="379">
        <f t="shared" si="1166"/>
        <v>0</v>
      </c>
      <c r="W731" s="379">
        <f t="shared" si="1166"/>
        <v>0</v>
      </c>
      <c r="X731" s="379">
        <f t="shared" si="1166"/>
        <v>0</v>
      </c>
      <c r="Y731" s="379">
        <f t="shared" si="1166"/>
        <v>0</v>
      </c>
      <c r="Z731" s="379">
        <f t="shared" si="1166"/>
        <v>0</v>
      </c>
      <c r="AA731" s="379">
        <f t="shared" si="1166"/>
        <v>0</v>
      </c>
      <c r="AB731" s="379">
        <f t="shared" si="1166"/>
        <v>0</v>
      </c>
      <c r="AC731" s="379">
        <f t="shared" si="1166"/>
        <v>0</v>
      </c>
      <c r="AD731" s="379">
        <f t="shared" si="1166"/>
        <v>0</v>
      </c>
      <c r="AE731" s="379">
        <f t="shared" si="1166"/>
        <v>0</v>
      </c>
      <c r="AF731" s="379">
        <f t="shared" si="1166"/>
        <v>0</v>
      </c>
      <c r="AG731" s="379">
        <f t="shared" si="1166"/>
        <v>0</v>
      </c>
      <c r="AH731" s="379">
        <f t="shared" si="1166"/>
        <v>0</v>
      </c>
      <c r="AI731" s="379">
        <f t="shared" si="1166"/>
        <v>0</v>
      </c>
      <c r="AJ731" s="379">
        <f t="shared" si="1166"/>
        <v>0</v>
      </c>
      <c r="AK731" s="379">
        <f t="shared" si="1166"/>
        <v>0</v>
      </c>
      <c r="AL731" s="379">
        <f t="shared" si="1166"/>
        <v>0</v>
      </c>
      <c r="AM731" s="379">
        <f t="shared" si="1166"/>
        <v>0</v>
      </c>
      <c r="AN731" s="490">
        <f t="shared" si="1166"/>
        <v>0</v>
      </c>
      <c r="AO731" s="379">
        <f t="shared" si="1166"/>
        <v>0</v>
      </c>
      <c r="AP731" s="379">
        <f t="shared" si="1166"/>
        <v>0</v>
      </c>
      <c r="AQ731" s="379">
        <f t="shared" si="1166"/>
        <v>0</v>
      </c>
      <c r="AR731" s="379">
        <f t="shared" si="1166"/>
        <v>0</v>
      </c>
      <c r="AS731" s="379">
        <f t="shared" si="1166"/>
        <v>0</v>
      </c>
      <c r="AT731" s="379">
        <f t="shared" si="1166"/>
        <v>0</v>
      </c>
      <c r="AU731" s="379">
        <f t="shared" si="1166"/>
        <v>0</v>
      </c>
      <c r="AV731" s="379">
        <f t="shared" si="1166"/>
        <v>0</v>
      </c>
      <c r="AW731" s="379">
        <f t="shared" si="1166"/>
        <v>0</v>
      </c>
      <c r="AX731" s="379">
        <f t="shared" si="1166"/>
        <v>0</v>
      </c>
      <c r="AY731" s="379">
        <f t="shared" si="1166"/>
        <v>0</v>
      </c>
    </row>
    <row r="732" spans="1:51" ht="13.5" thickBot="1" x14ac:dyDescent="0.25">
      <c r="A732" s="386"/>
      <c r="B732" s="386"/>
      <c r="C732" s="386" t="s">
        <v>269</v>
      </c>
      <c r="D732" s="386"/>
      <c r="E732" s="491"/>
      <c r="F732" s="384"/>
      <c r="G732" s="388">
        <f t="shared" ref="G732:AY732" si="1167">MEDIAN(G718:G726)</f>
        <v>207022</v>
      </c>
      <c r="H732" s="388">
        <f t="shared" si="1167"/>
        <v>63921</v>
      </c>
      <c r="I732" s="388">
        <f t="shared" si="1167"/>
        <v>411</v>
      </c>
      <c r="J732" s="388" t="e">
        <f t="shared" si="1167"/>
        <v>#NUM!</v>
      </c>
      <c r="K732" s="388">
        <f t="shared" si="1167"/>
        <v>61908</v>
      </c>
      <c r="L732" s="388">
        <f t="shared" si="1167"/>
        <v>0</v>
      </c>
      <c r="M732" s="388">
        <f t="shared" si="1167"/>
        <v>63043</v>
      </c>
      <c r="N732" s="388">
        <f t="shared" si="1167"/>
        <v>22584</v>
      </c>
      <c r="O732" s="388">
        <f t="shared" si="1167"/>
        <v>0</v>
      </c>
      <c r="P732" s="388" t="e">
        <f t="shared" si="1167"/>
        <v>#NUM!</v>
      </c>
      <c r="Q732" s="388">
        <f t="shared" si="1167"/>
        <v>0</v>
      </c>
      <c r="R732" s="388">
        <f t="shared" si="1167"/>
        <v>0</v>
      </c>
      <c r="S732" s="388">
        <f t="shared" si="1167"/>
        <v>0</v>
      </c>
      <c r="T732" s="388">
        <f t="shared" si="1167"/>
        <v>0</v>
      </c>
      <c r="U732" s="388">
        <f t="shared" si="1167"/>
        <v>0</v>
      </c>
      <c r="V732" s="388">
        <f t="shared" si="1167"/>
        <v>0</v>
      </c>
      <c r="W732" s="388">
        <f t="shared" si="1167"/>
        <v>0</v>
      </c>
      <c r="X732" s="388">
        <f t="shared" si="1167"/>
        <v>0</v>
      </c>
      <c r="Y732" s="388">
        <f t="shared" si="1167"/>
        <v>0</v>
      </c>
      <c r="Z732" s="388">
        <f t="shared" si="1167"/>
        <v>0</v>
      </c>
      <c r="AA732" s="388">
        <f t="shared" si="1167"/>
        <v>0</v>
      </c>
      <c r="AB732" s="388">
        <f t="shared" si="1167"/>
        <v>0</v>
      </c>
      <c r="AC732" s="388">
        <f t="shared" si="1167"/>
        <v>0</v>
      </c>
      <c r="AD732" s="388">
        <f t="shared" si="1167"/>
        <v>0</v>
      </c>
      <c r="AE732" s="388">
        <f t="shared" si="1167"/>
        <v>0</v>
      </c>
      <c r="AF732" s="388">
        <f t="shared" si="1167"/>
        <v>0</v>
      </c>
      <c r="AG732" s="388">
        <f t="shared" si="1167"/>
        <v>0</v>
      </c>
      <c r="AH732" s="388">
        <f t="shared" si="1167"/>
        <v>0</v>
      </c>
      <c r="AI732" s="388">
        <f t="shared" si="1167"/>
        <v>0</v>
      </c>
      <c r="AJ732" s="388">
        <f t="shared" si="1167"/>
        <v>0</v>
      </c>
      <c r="AK732" s="388">
        <f t="shared" si="1167"/>
        <v>0</v>
      </c>
      <c r="AL732" s="388">
        <f t="shared" si="1167"/>
        <v>0</v>
      </c>
      <c r="AM732" s="388">
        <f t="shared" si="1167"/>
        <v>0</v>
      </c>
      <c r="AN732" s="492">
        <f t="shared" si="1167"/>
        <v>0</v>
      </c>
      <c r="AO732" s="388">
        <f t="shared" si="1167"/>
        <v>0</v>
      </c>
      <c r="AP732" s="388">
        <f t="shared" si="1167"/>
        <v>0</v>
      </c>
      <c r="AQ732" s="388">
        <f t="shared" si="1167"/>
        <v>0</v>
      </c>
      <c r="AR732" s="388">
        <f t="shared" si="1167"/>
        <v>0</v>
      </c>
      <c r="AS732" s="388">
        <f t="shared" si="1167"/>
        <v>0</v>
      </c>
      <c r="AT732" s="388">
        <f t="shared" si="1167"/>
        <v>0</v>
      </c>
      <c r="AU732" s="388">
        <f t="shared" si="1167"/>
        <v>0</v>
      </c>
      <c r="AV732" s="388">
        <f t="shared" si="1167"/>
        <v>0</v>
      </c>
      <c r="AW732" s="388">
        <f t="shared" si="1167"/>
        <v>0</v>
      </c>
      <c r="AX732" s="388">
        <f t="shared" si="1167"/>
        <v>0</v>
      </c>
      <c r="AY732" s="388">
        <f t="shared" si="1167"/>
        <v>0</v>
      </c>
    </row>
    <row r="733" spans="1:51" ht="13.5" thickTop="1" x14ac:dyDescent="0.2">
      <c r="B733"/>
      <c r="C733" s="278"/>
      <c r="D733" s="278"/>
      <c r="E733" s="507"/>
    </row>
    <row r="734" spans="1:51" ht="13.5" thickBot="1" x14ac:dyDescent="0.25">
      <c r="A734" s="400"/>
      <c r="B734" s="400"/>
      <c r="C734" s="402" t="s">
        <v>271</v>
      </c>
      <c r="D734" s="402"/>
      <c r="E734" s="503"/>
    </row>
    <row r="735" spans="1:51" ht="13.5" thickTop="1" x14ac:dyDescent="0.2"/>
    <row r="736" spans="1:51" x14ac:dyDescent="0.2">
      <c r="A736" s="376">
        <v>15990</v>
      </c>
      <c r="B736" s="378" t="str">
        <f>VLOOKUP($A736,$A$5:$L$133,2,FALSE)</f>
        <v>Northern Beaches (A)</v>
      </c>
      <c r="C736" s="377">
        <f>VLOOKUP($A736,$A$5:$L$133,3,FALSE)</f>
        <v>0</v>
      </c>
      <c r="D736" s="503" t="str">
        <f>VLOOKUP($A736,$A$5:$L$133,4,FALSE)</f>
        <v>S</v>
      </c>
      <c r="E736" s="503"/>
      <c r="F736"/>
      <c r="G736" s="379">
        <f>VLOOKUP($A736,$A$5:$AY$132,7,FALSE)</f>
        <v>268849</v>
      </c>
      <c r="H736" s="379">
        <f>VLOOKUP($A736,$A$5:$AY$132,8,FALSE)</f>
        <v>97067</v>
      </c>
      <c r="I736" s="379">
        <f>VLOOKUP($A736,$A$5:$AY$132,9,FALSE)</f>
        <v>609.33000000000004</v>
      </c>
      <c r="J736" s="379" t="str">
        <f>VLOOKUP($A736,$A$5:$AY$132,10,FALSE)</f>
        <v>Y</v>
      </c>
      <c r="K736" s="379">
        <f>VLOOKUP($A736,$A$5:$AY$132,11,FALSE)</f>
        <v>96847</v>
      </c>
      <c r="L736" s="379">
        <f>VLOOKUP($A736,$A$5:$AY$132,12,FALSE)</f>
        <v>0</v>
      </c>
      <c r="M736" s="379">
        <f>VLOOKUP($A736,$A$4:$AY$132,13,FALSE)</f>
        <v>93431</v>
      </c>
      <c r="N736" s="379">
        <f>VLOOKUP($A736,$A$4:$AY$132,14,FALSE)</f>
        <v>93303</v>
      </c>
      <c r="O736" s="379">
        <f>VLOOKUP($A736,$A$4:$AY$132,15,FALSE)</f>
        <v>0</v>
      </c>
      <c r="P736" s="379" t="str">
        <f>VLOOKUP($A736,$A$4:$AY$132,16,FALSE)</f>
        <v>Y</v>
      </c>
      <c r="Q736" s="379" t="str">
        <f>VLOOKUP($A736,$A$4:$AY$132,17,FALSE)</f>
        <v>Y</v>
      </c>
      <c r="R736" s="379" t="str">
        <f>VLOOKUP($A736,$A$4:$AY$132,18,FALSE)</f>
        <v>Kimbriki - Vegetation</v>
      </c>
      <c r="S736" s="379" t="str">
        <f>VLOOKUP($A736,$A$4:$AY$132,19,FALSE)</f>
        <v>Kimbriki - eWaste</v>
      </c>
      <c r="T736" s="379" t="str">
        <f>VLOOKUP($A736,$A$4:$AY$132,20,FALSE)</f>
        <v>Kimbriki - Charity</v>
      </c>
      <c r="U736" s="379">
        <f>VLOOKUP($A736,$A$4:$AY$132,21,FALSE)</f>
        <v>0</v>
      </c>
      <c r="V736" s="379">
        <f>VLOOKUP($A736,$A$4:$AY$132,22,FALSE)</f>
        <v>0</v>
      </c>
      <c r="W736" s="379">
        <f>VLOOKUP($A736,$A$4:$AY$132,23,FALSE)</f>
        <v>0</v>
      </c>
      <c r="X736" s="379">
        <f>VLOOKUP($A736,$A$4:$AY$132,24,FALSE)</f>
        <v>0</v>
      </c>
      <c r="Y736" s="379">
        <f>VLOOKUP($A736,$A$4:$AY$132,25,FALSE)</f>
        <v>0</v>
      </c>
      <c r="Z736" s="379">
        <f>VLOOKUP($A736,$A$4:$AY$132,26,FALSE)</f>
        <v>0</v>
      </c>
      <c r="AA736" s="379">
        <f>VLOOKUP($A736,$A$4:$AY$132,27,FALSE)</f>
        <v>0</v>
      </c>
      <c r="AB736" s="379">
        <f>VLOOKUP($A736,$A$4:$AY$132,28,FALSE)</f>
        <v>0</v>
      </c>
      <c r="AC736" s="379">
        <f>VLOOKUP($A736,$A$4:$AY$132,29,FALSE)</f>
        <v>0</v>
      </c>
      <c r="AD736" s="379">
        <f>VLOOKUP($A736,$A$4:$AY$132,30,FALSE)</f>
        <v>0</v>
      </c>
      <c r="AE736" s="379">
        <f>VLOOKUP($A736,$A$4:$AY$132,31,FALSE)</f>
        <v>0</v>
      </c>
      <c r="AF736" s="379">
        <f>VLOOKUP($A736,$A$4:$AY$132,32,FALSE)</f>
        <v>0</v>
      </c>
      <c r="AG736" s="379">
        <f>VLOOKUP($A736,$A$4:$AY$132,33,FALSE)</f>
        <v>0</v>
      </c>
      <c r="AH736" s="379">
        <f>VLOOKUP($A736,$A$4:$AY$132,34,FALSE)</f>
        <v>0</v>
      </c>
      <c r="AI736" s="379">
        <f>VLOOKUP($A736,$A$4:$AY$132,35,FALSE)</f>
        <v>0</v>
      </c>
      <c r="AJ736" s="379">
        <f>VLOOKUP($A736,$A$4:$AY$132,36,FALSE)</f>
        <v>0</v>
      </c>
      <c r="AK736" s="379">
        <f>VLOOKUP($A736,$A$4:$AY$132,37,FALSE)</f>
        <v>0</v>
      </c>
      <c r="AL736" s="379">
        <f>VLOOKUP($A736,$A$4:$AY$132,38,FALSE)</f>
        <v>0</v>
      </c>
      <c r="AM736" s="379">
        <f>VLOOKUP($A736,$A$4:$AY$132,39,FALSE)</f>
        <v>0</v>
      </c>
      <c r="AN736" s="490">
        <f>VLOOKUP($A736,$A$4:$AY$132,40,FALSE)</f>
        <v>0</v>
      </c>
      <c r="AO736" s="379">
        <f>VLOOKUP($A736,$A$4:$AY$132,41,FALSE)</f>
        <v>0</v>
      </c>
      <c r="AP736" s="379">
        <f>VLOOKUP($A736,$A$4:$AY$132,42,FALSE)</f>
        <v>0</v>
      </c>
      <c r="AQ736" s="379">
        <f>VLOOKUP($A736,$A$4:$AY$132,43,FALSE)</f>
        <v>0</v>
      </c>
      <c r="AR736" s="379">
        <f>VLOOKUP($A736,$A$4:$AY$132,44,FALSE)</f>
        <v>0</v>
      </c>
      <c r="AS736" s="379">
        <f>VLOOKUP($A736,$A$4:$AY$132,45,FALSE)</f>
        <v>0</v>
      </c>
      <c r="AT736" s="379">
        <f>VLOOKUP($A736,$A$4:$AY$132,46,FALSE)</f>
        <v>0</v>
      </c>
      <c r="AU736" s="379">
        <f>VLOOKUP($A736,$A$4:$AY$132,47,FALSE)</f>
        <v>0</v>
      </c>
      <c r="AV736" s="379">
        <f>VLOOKUP($A736,$A$4:$AY$132,48,FALSE)</f>
        <v>0</v>
      </c>
      <c r="AW736" s="379">
        <f>VLOOKUP($A736,$A$4:$AY$132,49,FALSE)</f>
        <v>0</v>
      </c>
      <c r="AX736" s="379">
        <f>VLOOKUP($A736,$A$4:$AY$132,50,FALSE)</f>
        <v>0</v>
      </c>
      <c r="AY736" s="379">
        <f>VLOOKUP($A736,$A$4:$AY$132,51,FALSE)</f>
        <v>0</v>
      </c>
    </row>
    <row r="737" spans="1:51" ht="13.5" thickBot="1" x14ac:dyDescent="0.25">
      <c r="A737" s="376">
        <v>17100</v>
      </c>
      <c r="B737" s="378" t="str">
        <f>VLOOKUP($A737,$A$5:$L$133,2,FALSE)</f>
        <v>Strathfield (A)</v>
      </c>
      <c r="C737" s="377">
        <f>VLOOKUP($A737,$A$5:$L$133,3,FALSE)</f>
        <v>0</v>
      </c>
      <c r="D737" s="503" t="str">
        <f>VLOOKUP($A737,$A$5:$L$133,4,FALSE)</f>
        <v>S</v>
      </c>
      <c r="E737" s="503"/>
      <c r="F737"/>
      <c r="G737" s="379">
        <f>VLOOKUP($A737,$A$5:$AY$132,7,FALSE)</f>
        <v>40963</v>
      </c>
      <c r="H737" s="379">
        <f>VLOOKUP($A737,$A$5:$AY$132,8,FALSE)</f>
        <v>11642</v>
      </c>
      <c r="I737" s="379">
        <f>VLOOKUP($A737,$A$5:$AY$132,9,FALSE)</f>
        <v>705</v>
      </c>
      <c r="J737" s="379" t="str">
        <f>VLOOKUP($A737,$A$5:$AY$132,10,FALSE)</f>
        <v>Y</v>
      </c>
      <c r="K737" s="379">
        <f>VLOOKUP($A737,$A$5:$AY$132,11,FALSE)</f>
        <v>8863</v>
      </c>
      <c r="L737" s="379">
        <f>VLOOKUP($A737,$A$5:$AY$132,12,FALSE)</f>
        <v>0</v>
      </c>
      <c r="M737" s="379">
        <f>VLOOKUP($A737,$A$4:$AY$132,13,FALSE)</f>
        <v>7627</v>
      </c>
      <c r="N737" s="379">
        <f>VLOOKUP($A737,$A$4:$AY$132,14,FALSE)</f>
        <v>3946</v>
      </c>
      <c r="O737" s="379">
        <f>VLOOKUP($A737,$A$4:$AY$132,15,FALSE)</f>
        <v>0</v>
      </c>
      <c r="P737" s="379" t="str">
        <f>VLOOKUP($A737,$A$4:$AY$132,16,FALSE)</f>
        <v>Y</v>
      </c>
      <c r="Q737" s="379">
        <f>VLOOKUP($A737,$A$4:$AY$132,17,FALSE)</f>
        <v>0</v>
      </c>
      <c r="R737" s="379">
        <f>VLOOKUP($A737,$A$4:$AY$132,18,FALSE)</f>
        <v>0</v>
      </c>
      <c r="S737" s="379">
        <f>VLOOKUP($A737,$A$4:$AY$132,19,FALSE)</f>
        <v>0</v>
      </c>
      <c r="T737" s="379">
        <f>VLOOKUP($A737,$A$4:$AY$132,20,FALSE)</f>
        <v>0</v>
      </c>
      <c r="U737" s="379">
        <f>VLOOKUP($A737,$A$4:$AY$132,21,FALSE)</f>
        <v>0</v>
      </c>
      <c r="V737" s="379">
        <f>VLOOKUP($A737,$A$4:$AY$132,22,FALSE)</f>
        <v>0</v>
      </c>
      <c r="W737" s="379">
        <f>VLOOKUP($A737,$A$4:$AY$132,23,FALSE)</f>
        <v>0</v>
      </c>
      <c r="X737" s="379">
        <f>VLOOKUP($A737,$A$4:$AY$132,24,FALSE)</f>
        <v>0</v>
      </c>
      <c r="Y737" s="379">
        <f>VLOOKUP($A737,$A$4:$AY$132,25,FALSE)</f>
        <v>0</v>
      </c>
      <c r="Z737" s="379">
        <f>VLOOKUP($A737,$A$4:$AY$132,26,FALSE)</f>
        <v>0</v>
      </c>
      <c r="AA737" s="379">
        <f>VLOOKUP($A737,$A$4:$AY$132,27,FALSE)</f>
        <v>0</v>
      </c>
      <c r="AB737" s="379">
        <f>VLOOKUP($A737,$A$4:$AY$132,28,FALSE)</f>
        <v>0</v>
      </c>
      <c r="AC737" s="379">
        <f>VLOOKUP($A737,$A$4:$AY$132,29,FALSE)</f>
        <v>0</v>
      </c>
      <c r="AD737" s="379">
        <f>VLOOKUP($A737,$A$4:$AY$132,30,FALSE)</f>
        <v>0</v>
      </c>
      <c r="AE737" s="379">
        <f>VLOOKUP($A737,$A$4:$AY$132,31,FALSE)</f>
        <v>0</v>
      </c>
      <c r="AF737" s="379">
        <f>VLOOKUP($A737,$A$4:$AY$132,32,FALSE)</f>
        <v>0</v>
      </c>
      <c r="AG737" s="379">
        <f>VLOOKUP($A737,$A$4:$AY$132,33,FALSE)</f>
        <v>0</v>
      </c>
      <c r="AH737" s="379">
        <f>VLOOKUP($A737,$A$4:$AY$132,34,FALSE)</f>
        <v>0</v>
      </c>
      <c r="AI737" s="379">
        <f>VLOOKUP($A737,$A$4:$AY$132,35,FALSE)</f>
        <v>0</v>
      </c>
      <c r="AJ737" s="379">
        <f>VLOOKUP($A737,$A$4:$AY$132,36,FALSE)</f>
        <v>0</v>
      </c>
      <c r="AK737" s="379">
        <f>VLOOKUP($A737,$A$4:$AY$132,37,FALSE)</f>
        <v>0</v>
      </c>
      <c r="AL737" s="379">
        <f>VLOOKUP($A737,$A$4:$AY$132,38,FALSE)</f>
        <v>0</v>
      </c>
      <c r="AM737" s="379">
        <f>VLOOKUP($A737,$A$4:$AY$132,39,FALSE)</f>
        <v>0</v>
      </c>
      <c r="AN737" s="490">
        <f>VLOOKUP($A737,$A$4:$AY$132,40,FALSE)</f>
        <v>0</v>
      </c>
      <c r="AO737" s="379">
        <f>VLOOKUP($A737,$A$4:$AY$132,41,FALSE)</f>
        <v>0</v>
      </c>
      <c r="AP737" s="379">
        <f>VLOOKUP($A737,$A$4:$AY$132,42,FALSE)</f>
        <v>0</v>
      </c>
      <c r="AQ737" s="379">
        <f>VLOOKUP($A737,$A$4:$AY$132,43,FALSE)</f>
        <v>0</v>
      </c>
      <c r="AR737" s="379">
        <f>VLOOKUP($A737,$A$4:$AY$132,44,FALSE)</f>
        <v>0</v>
      </c>
      <c r="AS737" s="379">
        <f>VLOOKUP($A737,$A$4:$AY$132,45,FALSE)</f>
        <v>0</v>
      </c>
      <c r="AT737" s="379">
        <f>VLOOKUP($A737,$A$4:$AY$132,46,FALSE)</f>
        <v>0</v>
      </c>
      <c r="AU737" s="379">
        <f>VLOOKUP($A737,$A$4:$AY$132,47,FALSE)</f>
        <v>0</v>
      </c>
      <c r="AV737" s="379">
        <f>VLOOKUP($A737,$A$4:$AY$132,48,FALSE)</f>
        <v>0</v>
      </c>
      <c r="AW737" s="379">
        <f>VLOOKUP($A737,$A$4:$AY$132,49,FALSE)</f>
        <v>0</v>
      </c>
      <c r="AX737" s="379">
        <f>VLOOKUP($A737,$A$4:$AY$132,50,FALSE)</f>
        <v>0</v>
      </c>
      <c r="AY737" s="379">
        <f>VLOOKUP($A737,$A$4:$AY$132,51,FALSE)</f>
        <v>0</v>
      </c>
    </row>
    <row r="738" spans="1:51" ht="13.5" thickTop="1" x14ac:dyDescent="0.2">
      <c r="A738" s="380"/>
      <c r="B738" s="380"/>
      <c r="C738" s="380" t="s">
        <v>264</v>
      </c>
      <c r="D738" s="380"/>
      <c r="E738" s="484"/>
      <c r="F738" s="381"/>
      <c r="G738" s="382">
        <f>COUNTIF(G736:G737,"&gt;0")</f>
        <v>2</v>
      </c>
      <c r="H738" s="382">
        <f t="shared" ref="H738:AY738" si="1168">COUNTIF(H736:H737,"&gt;0")</f>
        <v>2</v>
      </c>
      <c r="I738" s="382">
        <f t="shared" si="1168"/>
        <v>2</v>
      </c>
      <c r="J738" s="382">
        <f t="shared" si="1168"/>
        <v>0</v>
      </c>
      <c r="K738" s="382">
        <f t="shared" si="1168"/>
        <v>2</v>
      </c>
      <c r="L738" s="382">
        <f t="shared" si="1168"/>
        <v>0</v>
      </c>
      <c r="M738" s="382">
        <f t="shared" si="1168"/>
        <v>2</v>
      </c>
      <c r="N738" s="382">
        <f t="shared" si="1168"/>
        <v>2</v>
      </c>
      <c r="O738" s="382">
        <f t="shared" si="1168"/>
        <v>0</v>
      </c>
      <c r="P738" s="382">
        <f t="shared" si="1168"/>
        <v>0</v>
      </c>
      <c r="Q738" s="382">
        <f t="shared" si="1168"/>
        <v>0</v>
      </c>
      <c r="R738" s="382">
        <f t="shared" si="1168"/>
        <v>0</v>
      </c>
      <c r="S738" s="382">
        <f t="shared" si="1168"/>
        <v>0</v>
      </c>
      <c r="T738" s="382">
        <f t="shared" si="1168"/>
        <v>0</v>
      </c>
      <c r="U738" s="382">
        <f t="shared" si="1168"/>
        <v>0</v>
      </c>
      <c r="V738" s="382">
        <f t="shared" si="1168"/>
        <v>0</v>
      </c>
      <c r="W738" s="382">
        <f t="shared" si="1168"/>
        <v>0</v>
      </c>
      <c r="X738" s="382">
        <f t="shared" si="1168"/>
        <v>0</v>
      </c>
      <c r="Y738" s="382">
        <f t="shared" si="1168"/>
        <v>0</v>
      </c>
      <c r="Z738" s="382">
        <f t="shared" si="1168"/>
        <v>0</v>
      </c>
      <c r="AA738" s="382">
        <f t="shared" si="1168"/>
        <v>0</v>
      </c>
      <c r="AB738" s="382">
        <f t="shared" si="1168"/>
        <v>0</v>
      </c>
      <c r="AC738" s="382">
        <f t="shared" si="1168"/>
        <v>0</v>
      </c>
      <c r="AD738" s="382">
        <f t="shared" si="1168"/>
        <v>0</v>
      </c>
      <c r="AE738" s="382">
        <f t="shared" si="1168"/>
        <v>0</v>
      </c>
      <c r="AF738" s="382">
        <f t="shared" si="1168"/>
        <v>0</v>
      </c>
      <c r="AG738" s="382">
        <f t="shared" si="1168"/>
        <v>0</v>
      </c>
      <c r="AH738" s="382">
        <f t="shared" si="1168"/>
        <v>0</v>
      </c>
      <c r="AI738" s="382">
        <f t="shared" si="1168"/>
        <v>0</v>
      </c>
      <c r="AJ738" s="382">
        <f t="shared" si="1168"/>
        <v>0</v>
      </c>
      <c r="AK738" s="382">
        <f t="shared" si="1168"/>
        <v>0</v>
      </c>
      <c r="AL738" s="382">
        <f t="shared" si="1168"/>
        <v>0</v>
      </c>
      <c r="AM738" s="382">
        <f t="shared" si="1168"/>
        <v>0</v>
      </c>
      <c r="AN738" s="485">
        <f t="shared" si="1168"/>
        <v>0</v>
      </c>
      <c r="AO738" s="382">
        <f t="shared" si="1168"/>
        <v>0</v>
      </c>
      <c r="AP738" s="382">
        <f t="shared" si="1168"/>
        <v>0</v>
      </c>
      <c r="AQ738" s="382">
        <f t="shared" si="1168"/>
        <v>0</v>
      </c>
      <c r="AR738" s="382">
        <f t="shared" si="1168"/>
        <v>0</v>
      </c>
      <c r="AS738" s="382">
        <f t="shared" si="1168"/>
        <v>0</v>
      </c>
      <c r="AT738" s="382">
        <f t="shared" si="1168"/>
        <v>0</v>
      </c>
      <c r="AU738" s="382">
        <f t="shared" si="1168"/>
        <v>0</v>
      </c>
      <c r="AV738" s="382">
        <f t="shared" si="1168"/>
        <v>0</v>
      </c>
      <c r="AW738" s="382">
        <f t="shared" si="1168"/>
        <v>0</v>
      </c>
      <c r="AX738" s="382">
        <f t="shared" si="1168"/>
        <v>0</v>
      </c>
      <c r="AY738" s="382">
        <f t="shared" si="1168"/>
        <v>0</v>
      </c>
    </row>
    <row r="739" spans="1:51" x14ac:dyDescent="0.2">
      <c r="A739" s="376"/>
      <c r="B739" s="376"/>
      <c r="C739" s="376" t="s">
        <v>265</v>
      </c>
      <c r="D739" s="376"/>
      <c r="E739" s="488"/>
      <c r="F739" s="384"/>
      <c r="G739" s="385">
        <f>SUM(G736:G737)</f>
        <v>309812</v>
      </c>
      <c r="H739" s="385">
        <f t="shared" ref="H739:AY739" si="1169">SUM(H736:H737)</f>
        <v>108709</v>
      </c>
      <c r="I739" s="385">
        <f t="shared" si="1169"/>
        <v>1314.33</v>
      </c>
      <c r="J739" s="385">
        <f t="shared" si="1169"/>
        <v>0</v>
      </c>
      <c r="K739" s="385">
        <f t="shared" si="1169"/>
        <v>105710</v>
      </c>
      <c r="L739" s="385">
        <f t="shared" si="1169"/>
        <v>0</v>
      </c>
      <c r="M739" s="385">
        <f t="shared" si="1169"/>
        <v>101058</v>
      </c>
      <c r="N739" s="385">
        <f t="shared" si="1169"/>
        <v>97249</v>
      </c>
      <c r="O739" s="385">
        <f t="shared" si="1169"/>
        <v>0</v>
      </c>
      <c r="P739" s="385">
        <f t="shared" si="1169"/>
        <v>0</v>
      </c>
      <c r="Q739" s="385">
        <f t="shared" si="1169"/>
        <v>0</v>
      </c>
      <c r="R739" s="385">
        <f t="shared" si="1169"/>
        <v>0</v>
      </c>
      <c r="S739" s="385">
        <f t="shared" si="1169"/>
        <v>0</v>
      </c>
      <c r="T739" s="385">
        <f t="shared" si="1169"/>
        <v>0</v>
      </c>
      <c r="U739" s="385">
        <f t="shared" si="1169"/>
        <v>0</v>
      </c>
      <c r="V739" s="385">
        <f t="shared" si="1169"/>
        <v>0</v>
      </c>
      <c r="W739" s="385">
        <f t="shared" si="1169"/>
        <v>0</v>
      </c>
      <c r="X739" s="385">
        <f t="shared" si="1169"/>
        <v>0</v>
      </c>
      <c r="Y739" s="385">
        <f t="shared" si="1169"/>
        <v>0</v>
      </c>
      <c r="Z739" s="385">
        <f t="shared" si="1169"/>
        <v>0</v>
      </c>
      <c r="AA739" s="385">
        <f t="shared" si="1169"/>
        <v>0</v>
      </c>
      <c r="AB739" s="385">
        <f t="shared" si="1169"/>
        <v>0</v>
      </c>
      <c r="AC739" s="385">
        <f t="shared" si="1169"/>
        <v>0</v>
      </c>
      <c r="AD739" s="385">
        <f t="shared" si="1169"/>
        <v>0</v>
      </c>
      <c r="AE739" s="385">
        <f t="shared" si="1169"/>
        <v>0</v>
      </c>
      <c r="AF739" s="385">
        <f t="shared" si="1169"/>
        <v>0</v>
      </c>
      <c r="AG739" s="385">
        <f t="shared" si="1169"/>
        <v>0</v>
      </c>
      <c r="AH739" s="385">
        <f t="shared" si="1169"/>
        <v>0</v>
      </c>
      <c r="AI739" s="385">
        <f t="shared" si="1169"/>
        <v>0</v>
      </c>
      <c r="AJ739" s="385">
        <f t="shared" si="1169"/>
        <v>0</v>
      </c>
      <c r="AK739" s="385">
        <f t="shared" si="1169"/>
        <v>0</v>
      </c>
      <c r="AL739" s="385">
        <f t="shared" si="1169"/>
        <v>0</v>
      </c>
      <c r="AM739" s="385">
        <f t="shared" si="1169"/>
        <v>0</v>
      </c>
      <c r="AN739" s="489">
        <f t="shared" si="1169"/>
        <v>0</v>
      </c>
      <c r="AO739" s="385">
        <f t="shared" si="1169"/>
        <v>0</v>
      </c>
      <c r="AP739" s="385">
        <f t="shared" si="1169"/>
        <v>0</v>
      </c>
      <c r="AQ739" s="385">
        <f t="shared" si="1169"/>
        <v>0</v>
      </c>
      <c r="AR739" s="385">
        <f t="shared" si="1169"/>
        <v>0</v>
      </c>
      <c r="AS739" s="385">
        <f t="shared" si="1169"/>
        <v>0</v>
      </c>
      <c r="AT739" s="385">
        <f t="shared" si="1169"/>
        <v>0</v>
      </c>
      <c r="AU739" s="385">
        <f t="shared" si="1169"/>
        <v>0</v>
      </c>
      <c r="AV739" s="385">
        <f t="shared" si="1169"/>
        <v>0</v>
      </c>
      <c r="AW739" s="385">
        <f t="shared" si="1169"/>
        <v>0</v>
      </c>
      <c r="AX739" s="385">
        <f t="shared" si="1169"/>
        <v>0</v>
      </c>
      <c r="AY739" s="385">
        <f t="shared" si="1169"/>
        <v>0</v>
      </c>
    </row>
    <row r="740" spans="1:51" x14ac:dyDescent="0.2">
      <c r="A740" s="376"/>
      <c r="B740" s="376"/>
      <c r="C740" s="376" t="s">
        <v>266</v>
      </c>
      <c r="D740" s="376"/>
      <c r="E740" s="488"/>
      <c r="F740" s="384"/>
      <c r="G740" s="379">
        <f>MIN(G736:G737)</f>
        <v>40963</v>
      </c>
      <c r="H740" s="379">
        <f t="shared" ref="H740:AY740" si="1170">MIN(H736:H737)</f>
        <v>11642</v>
      </c>
      <c r="I740" s="379">
        <f t="shared" si="1170"/>
        <v>609.33000000000004</v>
      </c>
      <c r="J740" s="379">
        <f t="shared" si="1170"/>
        <v>0</v>
      </c>
      <c r="K740" s="379">
        <f t="shared" si="1170"/>
        <v>8863</v>
      </c>
      <c r="L740" s="379">
        <f t="shared" si="1170"/>
        <v>0</v>
      </c>
      <c r="M740" s="379">
        <f t="shared" si="1170"/>
        <v>7627</v>
      </c>
      <c r="N740" s="379">
        <f t="shared" si="1170"/>
        <v>3946</v>
      </c>
      <c r="O740" s="379">
        <f t="shared" si="1170"/>
        <v>0</v>
      </c>
      <c r="P740" s="379">
        <f t="shared" si="1170"/>
        <v>0</v>
      </c>
      <c r="Q740" s="379">
        <f t="shared" si="1170"/>
        <v>0</v>
      </c>
      <c r="R740" s="379">
        <f t="shared" si="1170"/>
        <v>0</v>
      </c>
      <c r="S740" s="379">
        <f t="shared" si="1170"/>
        <v>0</v>
      </c>
      <c r="T740" s="379">
        <f t="shared" si="1170"/>
        <v>0</v>
      </c>
      <c r="U740" s="379">
        <f t="shared" si="1170"/>
        <v>0</v>
      </c>
      <c r="V740" s="379">
        <f t="shared" si="1170"/>
        <v>0</v>
      </c>
      <c r="W740" s="379">
        <f t="shared" si="1170"/>
        <v>0</v>
      </c>
      <c r="X740" s="379">
        <f t="shared" si="1170"/>
        <v>0</v>
      </c>
      <c r="Y740" s="379">
        <f t="shared" si="1170"/>
        <v>0</v>
      </c>
      <c r="Z740" s="379">
        <f t="shared" si="1170"/>
        <v>0</v>
      </c>
      <c r="AA740" s="379">
        <f t="shared" si="1170"/>
        <v>0</v>
      </c>
      <c r="AB740" s="379">
        <f t="shared" si="1170"/>
        <v>0</v>
      </c>
      <c r="AC740" s="379">
        <f t="shared" si="1170"/>
        <v>0</v>
      </c>
      <c r="AD740" s="379">
        <f t="shared" si="1170"/>
        <v>0</v>
      </c>
      <c r="AE740" s="379">
        <f t="shared" si="1170"/>
        <v>0</v>
      </c>
      <c r="AF740" s="379">
        <f t="shared" si="1170"/>
        <v>0</v>
      </c>
      <c r="AG740" s="379">
        <f t="shared" si="1170"/>
        <v>0</v>
      </c>
      <c r="AH740" s="379">
        <f t="shared" si="1170"/>
        <v>0</v>
      </c>
      <c r="AI740" s="379">
        <f t="shared" si="1170"/>
        <v>0</v>
      </c>
      <c r="AJ740" s="379">
        <f t="shared" si="1170"/>
        <v>0</v>
      </c>
      <c r="AK740" s="379">
        <f t="shared" si="1170"/>
        <v>0</v>
      </c>
      <c r="AL740" s="379">
        <f t="shared" si="1170"/>
        <v>0</v>
      </c>
      <c r="AM740" s="379">
        <f t="shared" si="1170"/>
        <v>0</v>
      </c>
      <c r="AN740" s="490">
        <f t="shared" si="1170"/>
        <v>0</v>
      </c>
      <c r="AO740" s="379">
        <f t="shared" si="1170"/>
        <v>0</v>
      </c>
      <c r="AP740" s="379">
        <f t="shared" si="1170"/>
        <v>0</v>
      </c>
      <c r="AQ740" s="379">
        <f t="shared" si="1170"/>
        <v>0</v>
      </c>
      <c r="AR740" s="379">
        <f t="shared" si="1170"/>
        <v>0</v>
      </c>
      <c r="AS740" s="379">
        <f t="shared" si="1170"/>
        <v>0</v>
      </c>
      <c r="AT740" s="379">
        <f t="shared" si="1170"/>
        <v>0</v>
      </c>
      <c r="AU740" s="379">
        <f t="shared" si="1170"/>
        <v>0</v>
      </c>
      <c r="AV740" s="379">
        <f t="shared" si="1170"/>
        <v>0</v>
      </c>
      <c r="AW740" s="379">
        <f t="shared" si="1170"/>
        <v>0</v>
      </c>
      <c r="AX740" s="379">
        <f t="shared" si="1170"/>
        <v>0</v>
      </c>
      <c r="AY740" s="379">
        <f t="shared" si="1170"/>
        <v>0</v>
      </c>
    </row>
    <row r="741" spans="1:51" x14ac:dyDescent="0.2">
      <c r="A741" s="376"/>
      <c r="B741" s="376"/>
      <c r="C741" s="376" t="s">
        <v>267</v>
      </c>
      <c r="D741" s="376"/>
      <c r="E741" s="488"/>
      <c r="F741" s="384"/>
      <c r="G741" s="379">
        <f>MAX(G736:G737)</f>
        <v>268849</v>
      </c>
      <c r="H741" s="379">
        <f t="shared" ref="H741:AY741" si="1171">MAX(H736:H737)</f>
        <v>97067</v>
      </c>
      <c r="I741" s="379">
        <f t="shared" si="1171"/>
        <v>705</v>
      </c>
      <c r="J741" s="379">
        <f t="shared" si="1171"/>
        <v>0</v>
      </c>
      <c r="K741" s="379">
        <f t="shared" si="1171"/>
        <v>96847</v>
      </c>
      <c r="L741" s="379">
        <f t="shared" si="1171"/>
        <v>0</v>
      </c>
      <c r="M741" s="379">
        <f t="shared" si="1171"/>
        <v>93431</v>
      </c>
      <c r="N741" s="379">
        <f t="shared" si="1171"/>
        <v>93303</v>
      </c>
      <c r="O741" s="379">
        <f t="shared" si="1171"/>
        <v>0</v>
      </c>
      <c r="P741" s="379">
        <f t="shared" si="1171"/>
        <v>0</v>
      </c>
      <c r="Q741" s="379">
        <f t="shared" si="1171"/>
        <v>0</v>
      </c>
      <c r="R741" s="379">
        <f t="shared" si="1171"/>
        <v>0</v>
      </c>
      <c r="S741" s="379">
        <f t="shared" si="1171"/>
        <v>0</v>
      </c>
      <c r="T741" s="379">
        <f t="shared" si="1171"/>
        <v>0</v>
      </c>
      <c r="U741" s="379">
        <f t="shared" si="1171"/>
        <v>0</v>
      </c>
      <c r="V741" s="379">
        <f t="shared" si="1171"/>
        <v>0</v>
      </c>
      <c r="W741" s="379">
        <f t="shared" si="1171"/>
        <v>0</v>
      </c>
      <c r="X741" s="379">
        <f t="shared" si="1171"/>
        <v>0</v>
      </c>
      <c r="Y741" s="379">
        <f t="shared" si="1171"/>
        <v>0</v>
      </c>
      <c r="Z741" s="379">
        <f t="shared" si="1171"/>
        <v>0</v>
      </c>
      <c r="AA741" s="379">
        <f t="shared" si="1171"/>
        <v>0</v>
      </c>
      <c r="AB741" s="379">
        <f t="shared" si="1171"/>
        <v>0</v>
      </c>
      <c r="AC741" s="379">
        <f t="shared" si="1171"/>
        <v>0</v>
      </c>
      <c r="AD741" s="379">
        <f t="shared" si="1171"/>
        <v>0</v>
      </c>
      <c r="AE741" s="379">
        <f t="shared" si="1171"/>
        <v>0</v>
      </c>
      <c r="AF741" s="379">
        <f t="shared" si="1171"/>
        <v>0</v>
      </c>
      <c r="AG741" s="379">
        <f t="shared" si="1171"/>
        <v>0</v>
      </c>
      <c r="AH741" s="379">
        <f t="shared" si="1171"/>
        <v>0</v>
      </c>
      <c r="AI741" s="379">
        <f t="shared" si="1171"/>
        <v>0</v>
      </c>
      <c r="AJ741" s="379">
        <f t="shared" si="1171"/>
        <v>0</v>
      </c>
      <c r="AK741" s="379">
        <f t="shared" si="1171"/>
        <v>0</v>
      </c>
      <c r="AL741" s="379">
        <f t="shared" si="1171"/>
        <v>0</v>
      </c>
      <c r="AM741" s="379">
        <f t="shared" si="1171"/>
        <v>0</v>
      </c>
      <c r="AN741" s="490">
        <f t="shared" si="1171"/>
        <v>0</v>
      </c>
      <c r="AO741" s="379">
        <f t="shared" si="1171"/>
        <v>0</v>
      </c>
      <c r="AP741" s="379">
        <f t="shared" si="1171"/>
        <v>0</v>
      </c>
      <c r="AQ741" s="379">
        <f t="shared" si="1171"/>
        <v>0</v>
      </c>
      <c r="AR741" s="379">
        <f t="shared" si="1171"/>
        <v>0</v>
      </c>
      <c r="AS741" s="379">
        <f t="shared" si="1171"/>
        <v>0</v>
      </c>
      <c r="AT741" s="379">
        <f t="shared" si="1171"/>
        <v>0</v>
      </c>
      <c r="AU741" s="379">
        <f t="shared" si="1171"/>
        <v>0</v>
      </c>
      <c r="AV741" s="379">
        <f t="shared" si="1171"/>
        <v>0</v>
      </c>
      <c r="AW741" s="379">
        <f t="shared" si="1171"/>
        <v>0</v>
      </c>
      <c r="AX741" s="379">
        <f t="shared" si="1171"/>
        <v>0</v>
      </c>
      <c r="AY741" s="379">
        <f t="shared" si="1171"/>
        <v>0</v>
      </c>
    </row>
    <row r="742" spans="1:51" x14ac:dyDescent="0.2">
      <c r="A742" s="376"/>
      <c r="B742" s="376"/>
      <c r="C742" s="376" t="s">
        <v>268</v>
      </c>
      <c r="D742" s="376"/>
      <c r="E742" s="488"/>
      <c r="F742" s="384"/>
      <c r="G742" s="379">
        <f>AVERAGE(G736:G737)</f>
        <v>154906</v>
      </c>
      <c r="H742" s="379">
        <f t="shared" ref="H742:AY742" si="1172">AVERAGE(H736:H737)</f>
        <v>54354.5</v>
      </c>
      <c r="I742" s="379">
        <f t="shared" si="1172"/>
        <v>657.16499999999996</v>
      </c>
      <c r="J742" s="379" t="e">
        <f t="shared" si="1172"/>
        <v>#DIV/0!</v>
      </c>
      <c r="K742" s="379">
        <f t="shared" si="1172"/>
        <v>52855</v>
      </c>
      <c r="L742" s="379">
        <f t="shared" si="1172"/>
        <v>0</v>
      </c>
      <c r="M742" s="379">
        <f t="shared" si="1172"/>
        <v>50529</v>
      </c>
      <c r="N742" s="379">
        <f t="shared" si="1172"/>
        <v>48624.5</v>
      </c>
      <c r="O742" s="379">
        <f t="shared" si="1172"/>
        <v>0</v>
      </c>
      <c r="P742" s="379" t="e">
        <f t="shared" si="1172"/>
        <v>#DIV/0!</v>
      </c>
      <c r="Q742" s="379">
        <f t="shared" si="1172"/>
        <v>0</v>
      </c>
      <c r="R742" s="379">
        <f t="shared" si="1172"/>
        <v>0</v>
      </c>
      <c r="S742" s="379">
        <f t="shared" si="1172"/>
        <v>0</v>
      </c>
      <c r="T742" s="379">
        <f t="shared" si="1172"/>
        <v>0</v>
      </c>
      <c r="U742" s="379">
        <f t="shared" si="1172"/>
        <v>0</v>
      </c>
      <c r="V742" s="379">
        <f t="shared" si="1172"/>
        <v>0</v>
      </c>
      <c r="W742" s="379">
        <f t="shared" si="1172"/>
        <v>0</v>
      </c>
      <c r="X742" s="379">
        <f t="shared" si="1172"/>
        <v>0</v>
      </c>
      <c r="Y742" s="379">
        <f t="shared" si="1172"/>
        <v>0</v>
      </c>
      <c r="Z742" s="379">
        <f t="shared" si="1172"/>
        <v>0</v>
      </c>
      <c r="AA742" s="379">
        <f t="shared" si="1172"/>
        <v>0</v>
      </c>
      <c r="AB742" s="379">
        <f t="shared" si="1172"/>
        <v>0</v>
      </c>
      <c r="AC742" s="379">
        <f t="shared" si="1172"/>
        <v>0</v>
      </c>
      <c r="AD742" s="379">
        <f t="shared" si="1172"/>
        <v>0</v>
      </c>
      <c r="AE742" s="379">
        <f t="shared" si="1172"/>
        <v>0</v>
      </c>
      <c r="AF742" s="379">
        <f t="shared" si="1172"/>
        <v>0</v>
      </c>
      <c r="AG742" s="379">
        <f t="shared" si="1172"/>
        <v>0</v>
      </c>
      <c r="AH742" s="379">
        <f t="shared" si="1172"/>
        <v>0</v>
      </c>
      <c r="AI742" s="379">
        <f t="shared" si="1172"/>
        <v>0</v>
      </c>
      <c r="AJ742" s="379">
        <f t="shared" si="1172"/>
        <v>0</v>
      </c>
      <c r="AK742" s="379">
        <f t="shared" si="1172"/>
        <v>0</v>
      </c>
      <c r="AL742" s="379">
        <f t="shared" si="1172"/>
        <v>0</v>
      </c>
      <c r="AM742" s="379">
        <f t="shared" si="1172"/>
        <v>0</v>
      </c>
      <c r="AN742" s="490">
        <f t="shared" si="1172"/>
        <v>0</v>
      </c>
      <c r="AO742" s="379">
        <f t="shared" si="1172"/>
        <v>0</v>
      </c>
      <c r="AP742" s="379">
        <f t="shared" si="1172"/>
        <v>0</v>
      </c>
      <c r="AQ742" s="379">
        <f t="shared" si="1172"/>
        <v>0</v>
      </c>
      <c r="AR742" s="379">
        <f t="shared" si="1172"/>
        <v>0</v>
      </c>
      <c r="AS742" s="379">
        <f t="shared" si="1172"/>
        <v>0</v>
      </c>
      <c r="AT742" s="379">
        <f t="shared" si="1172"/>
        <v>0</v>
      </c>
      <c r="AU742" s="379">
        <f t="shared" si="1172"/>
        <v>0</v>
      </c>
      <c r="AV742" s="379">
        <f t="shared" si="1172"/>
        <v>0</v>
      </c>
      <c r="AW742" s="379">
        <f t="shared" si="1172"/>
        <v>0</v>
      </c>
      <c r="AX742" s="379">
        <f t="shared" si="1172"/>
        <v>0</v>
      </c>
      <c r="AY742" s="379">
        <f t="shared" si="1172"/>
        <v>0</v>
      </c>
    </row>
    <row r="743" spans="1:51" ht="13.5" thickBot="1" x14ac:dyDescent="0.25">
      <c r="A743" s="386"/>
      <c r="B743" s="386"/>
      <c r="C743" s="386" t="s">
        <v>269</v>
      </c>
      <c r="D743" s="386"/>
      <c r="E743" s="491"/>
      <c r="F743" s="384"/>
      <c r="G743" s="388">
        <f>MEDIAN(G736:G737)</f>
        <v>154906</v>
      </c>
      <c r="H743" s="388">
        <f t="shared" ref="H743:AY743" si="1173">MEDIAN(H736:H737)</f>
        <v>54354.5</v>
      </c>
      <c r="I743" s="388">
        <f t="shared" si="1173"/>
        <v>657.16499999999996</v>
      </c>
      <c r="J743" s="388" t="e">
        <f t="shared" si="1173"/>
        <v>#NUM!</v>
      </c>
      <c r="K743" s="388">
        <f t="shared" si="1173"/>
        <v>52855</v>
      </c>
      <c r="L743" s="388">
        <f t="shared" si="1173"/>
        <v>0</v>
      </c>
      <c r="M743" s="388">
        <f t="shared" si="1173"/>
        <v>50529</v>
      </c>
      <c r="N743" s="388">
        <f t="shared" si="1173"/>
        <v>48624.5</v>
      </c>
      <c r="O743" s="388">
        <f t="shared" si="1173"/>
        <v>0</v>
      </c>
      <c r="P743" s="388" t="e">
        <f t="shared" si="1173"/>
        <v>#NUM!</v>
      </c>
      <c r="Q743" s="388">
        <f t="shared" si="1173"/>
        <v>0</v>
      </c>
      <c r="R743" s="388">
        <f t="shared" si="1173"/>
        <v>0</v>
      </c>
      <c r="S743" s="388">
        <f t="shared" si="1173"/>
        <v>0</v>
      </c>
      <c r="T743" s="388">
        <f t="shared" si="1173"/>
        <v>0</v>
      </c>
      <c r="U743" s="388">
        <f t="shared" si="1173"/>
        <v>0</v>
      </c>
      <c r="V743" s="388">
        <f t="shared" si="1173"/>
        <v>0</v>
      </c>
      <c r="W743" s="388">
        <f t="shared" si="1173"/>
        <v>0</v>
      </c>
      <c r="X743" s="388">
        <f t="shared" si="1173"/>
        <v>0</v>
      </c>
      <c r="Y743" s="388">
        <f t="shared" si="1173"/>
        <v>0</v>
      </c>
      <c r="Z743" s="388">
        <f t="shared" si="1173"/>
        <v>0</v>
      </c>
      <c r="AA743" s="388">
        <f t="shared" si="1173"/>
        <v>0</v>
      </c>
      <c r="AB743" s="388">
        <f t="shared" si="1173"/>
        <v>0</v>
      </c>
      <c r="AC743" s="388">
        <f t="shared" si="1173"/>
        <v>0</v>
      </c>
      <c r="AD743" s="388">
        <f t="shared" si="1173"/>
        <v>0</v>
      </c>
      <c r="AE743" s="388">
        <f t="shared" si="1173"/>
        <v>0</v>
      </c>
      <c r="AF743" s="388">
        <f t="shared" si="1173"/>
        <v>0</v>
      </c>
      <c r="AG743" s="388">
        <f t="shared" si="1173"/>
        <v>0</v>
      </c>
      <c r="AH743" s="388">
        <f t="shared" si="1173"/>
        <v>0</v>
      </c>
      <c r="AI743" s="388">
        <f t="shared" si="1173"/>
        <v>0</v>
      </c>
      <c r="AJ743" s="388">
        <f t="shared" si="1173"/>
        <v>0</v>
      </c>
      <c r="AK743" s="388">
        <f t="shared" si="1173"/>
        <v>0</v>
      </c>
      <c r="AL743" s="388">
        <f t="shared" si="1173"/>
        <v>0</v>
      </c>
      <c r="AM743" s="388">
        <f t="shared" si="1173"/>
        <v>0</v>
      </c>
      <c r="AN743" s="492">
        <f t="shared" si="1173"/>
        <v>0</v>
      </c>
      <c r="AO743" s="388">
        <f t="shared" si="1173"/>
        <v>0</v>
      </c>
      <c r="AP743" s="388">
        <f t="shared" si="1173"/>
        <v>0</v>
      </c>
      <c r="AQ743" s="388">
        <f t="shared" si="1173"/>
        <v>0</v>
      </c>
      <c r="AR743" s="388">
        <f t="shared" si="1173"/>
        <v>0</v>
      </c>
      <c r="AS743" s="388">
        <f t="shared" si="1173"/>
        <v>0</v>
      </c>
      <c r="AT743" s="388">
        <f t="shared" si="1173"/>
        <v>0</v>
      </c>
      <c r="AU743" s="388">
        <f t="shared" si="1173"/>
        <v>0</v>
      </c>
      <c r="AV743" s="388">
        <f t="shared" si="1173"/>
        <v>0</v>
      </c>
      <c r="AW743" s="388">
        <f t="shared" si="1173"/>
        <v>0</v>
      </c>
      <c r="AX743" s="388">
        <f t="shared" si="1173"/>
        <v>0</v>
      </c>
      <c r="AY743" s="388">
        <f t="shared" si="1173"/>
        <v>0</v>
      </c>
    </row>
    <row r="744" spans="1:51" ht="13.5" thickTop="1" x14ac:dyDescent="0.2"/>
  </sheetData>
  <sortState ref="A5:BA132">
    <sortCondition ref="A5:A132"/>
  </sortState>
  <hyperlinks>
    <hyperlink ref="B139" location="NSW!A8" display="Top" xr:uid="{00000000-0004-0000-0000-000000000000}"/>
    <hyperlink ref="B180" location="'2008-09'!A7" display="Top" xr:uid="{00000000-0004-0000-0000-000001000000}"/>
    <hyperlink ref="B202" location="'2008-09'!A7" display="Top" xr:uid="{00000000-0004-0000-0000-000002000000}"/>
    <hyperlink ref="B403" location="'2008-09'!A7" display="Top" xr:uid="{00000000-0004-0000-0000-000003000000}"/>
    <hyperlink ref="B231" location="'2008-09'!A7" display="Top" xr:uid="{00000000-0004-0000-0000-000004000000}"/>
    <hyperlink ref="B308" location="'2008-09'!A7" display="Top" xr:uid="{00000000-0004-0000-0000-000005000000}"/>
    <hyperlink ref="B455" location="'2008-09'!A7" display="Top" xr:uid="{00000000-0004-0000-0000-000006000000}"/>
    <hyperlink ref="D62" location="'2009-10'!A160" display="Bottom" xr:uid="{00000000-0004-0000-0000-000007000000}"/>
  </hyperlinks>
  <printOptions horizontalCentered="1"/>
  <pageMargins left="0.23622047244094488" right="0.23622047244094488" top="0.74803149606299213" bottom="0.74803149606299213" header="0.31496062992125984" footer="0.31496062992125984"/>
  <pageSetup paperSize="9" scale="25" fitToHeight="0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23"/>
  <sheetViews>
    <sheetView workbookViewId="0">
      <selection activeCell="C4" sqref="C4"/>
    </sheetView>
  </sheetViews>
  <sheetFormatPr defaultRowHeight="12.75" x14ac:dyDescent="0.2"/>
  <cols>
    <col min="1" max="1" width="6.85546875" customWidth="1"/>
    <col min="2" max="2" width="16.140625" bestFit="1" customWidth="1"/>
    <col min="3" max="3" width="14.140625" bestFit="1" customWidth="1"/>
    <col min="4" max="4" width="3" style="278" bestFit="1" customWidth="1"/>
    <col min="5" max="5" width="7.7109375" bestFit="1" customWidth="1"/>
    <col min="6" max="6" width="9.42578125" bestFit="1" customWidth="1"/>
    <col min="7" max="7" width="10.28515625" bestFit="1" customWidth="1"/>
    <col min="8" max="8" width="10.42578125" bestFit="1" customWidth="1"/>
    <col min="9" max="10" width="20.5703125" bestFit="1" customWidth="1"/>
  </cols>
  <sheetData>
    <row r="1" spans="1:10" ht="15.75" customHeight="1" x14ac:dyDescent="0.25">
      <c r="A1" s="682" t="s">
        <v>112</v>
      </c>
      <c r="B1" s="682"/>
      <c r="C1" s="682"/>
      <c r="D1" s="682"/>
      <c r="E1" s="682"/>
      <c r="F1" s="682"/>
      <c r="G1" s="682"/>
      <c r="H1" s="682"/>
      <c r="I1" s="682"/>
      <c r="J1" s="574"/>
    </row>
    <row r="2" spans="1:10" x14ac:dyDescent="0.2">
      <c r="A2" s="4"/>
      <c r="B2" s="4"/>
      <c r="C2" s="4"/>
      <c r="D2" s="369"/>
      <c r="E2" s="196"/>
      <c r="F2" s="196"/>
      <c r="G2" s="196"/>
      <c r="H2" s="197"/>
      <c r="I2" s="197"/>
      <c r="J2" s="414"/>
    </row>
    <row r="3" spans="1:10" ht="33.75" x14ac:dyDescent="0.2">
      <c r="A3" s="198" t="s">
        <v>285</v>
      </c>
      <c r="B3" s="199" t="s">
        <v>286</v>
      </c>
      <c r="C3" s="199" t="s">
        <v>108</v>
      </c>
      <c r="D3" s="200" t="s">
        <v>11</v>
      </c>
      <c r="E3" s="201" t="s">
        <v>67</v>
      </c>
      <c r="F3" s="209" t="s">
        <v>24</v>
      </c>
      <c r="G3" s="201" t="s">
        <v>68</v>
      </c>
      <c r="H3" s="202" t="s">
        <v>69</v>
      </c>
      <c r="I3" s="316" t="s">
        <v>70</v>
      </c>
      <c r="J3" s="316"/>
    </row>
    <row r="4" spans="1:10" x14ac:dyDescent="0.2">
      <c r="A4" s="203">
        <v>10130</v>
      </c>
      <c r="B4" s="204" t="s">
        <v>126</v>
      </c>
      <c r="C4" s="578" t="s">
        <v>125</v>
      </c>
      <c r="D4" s="205" t="s">
        <v>2</v>
      </c>
      <c r="E4" s="206">
        <v>5297.49</v>
      </c>
      <c r="F4" s="206">
        <v>115.8</v>
      </c>
      <c r="G4" s="206">
        <v>5181.6899999999996</v>
      </c>
      <c r="H4" s="210">
        <f>F4/E4</f>
        <v>2.1859408889870487E-2</v>
      </c>
      <c r="I4" s="118" t="s">
        <v>374</v>
      </c>
      <c r="J4" s="118" t="s">
        <v>390</v>
      </c>
    </row>
    <row r="5" spans="1:10" x14ac:dyDescent="0.2">
      <c r="A5" s="203">
        <v>10500</v>
      </c>
      <c r="B5" s="204" t="s">
        <v>149</v>
      </c>
      <c r="C5" s="578" t="s">
        <v>127</v>
      </c>
      <c r="D5" s="205" t="s">
        <v>4</v>
      </c>
      <c r="E5" s="206">
        <v>42265</v>
      </c>
      <c r="F5" s="206">
        <v>18666</v>
      </c>
      <c r="G5" s="206">
        <v>23599</v>
      </c>
      <c r="H5" s="210">
        <f t="shared" ref="H5:H19" si="0">F5/E5</f>
        <v>0.44164202058440788</v>
      </c>
      <c r="I5" s="118" t="s">
        <v>375</v>
      </c>
      <c r="J5" s="118" t="s">
        <v>376</v>
      </c>
    </row>
    <row r="6" spans="1:10" x14ac:dyDescent="0.2">
      <c r="A6" s="203">
        <v>10600</v>
      </c>
      <c r="B6" s="204" t="s">
        <v>139</v>
      </c>
      <c r="C6" s="578" t="s">
        <v>294</v>
      </c>
      <c r="D6" s="205" t="s">
        <v>5</v>
      </c>
      <c r="E6" s="206">
        <v>1427.33</v>
      </c>
      <c r="F6" s="206">
        <v>747.32999999999993</v>
      </c>
      <c r="G6" s="206">
        <v>680</v>
      </c>
      <c r="H6" s="210">
        <f t="shared" si="0"/>
        <v>0.52358599623072444</v>
      </c>
      <c r="I6" s="118" t="s">
        <v>377</v>
      </c>
      <c r="J6" s="118" t="s">
        <v>378</v>
      </c>
    </row>
    <row r="7" spans="1:10" x14ac:dyDescent="0.2">
      <c r="A7" s="203">
        <v>10750</v>
      </c>
      <c r="B7" s="204" t="s">
        <v>141</v>
      </c>
      <c r="C7" s="578" t="s">
        <v>129</v>
      </c>
      <c r="D7" s="205" t="s">
        <v>4</v>
      </c>
      <c r="E7" s="206">
        <v>102571</v>
      </c>
      <c r="F7" s="206">
        <v>60196</v>
      </c>
      <c r="G7" s="206">
        <v>42375</v>
      </c>
      <c r="H7" s="210">
        <f t="shared" si="0"/>
        <v>0.58687153288941318</v>
      </c>
      <c r="I7" s="118" t="s">
        <v>379</v>
      </c>
      <c r="J7" s="118" t="s">
        <v>380</v>
      </c>
    </row>
    <row r="8" spans="1:10" x14ac:dyDescent="0.2">
      <c r="A8" s="203">
        <v>11800</v>
      </c>
      <c r="B8" s="204" t="s">
        <v>167</v>
      </c>
      <c r="C8" s="578" t="s">
        <v>294</v>
      </c>
      <c r="D8" s="205" t="s">
        <v>5</v>
      </c>
      <c r="E8" s="206">
        <v>13249.07</v>
      </c>
      <c r="F8" s="206">
        <v>890.11999999999989</v>
      </c>
      <c r="G8" s="206">
        <v>12358.95</v>
      </c>
      <c r="H8" s="210">
        <f t="shared" si="0"/>
        <v>6.7183583451517717E-2</v>
      </c>
      <c r="I8" s="118" t="s">
        <v>377</v>
      </c>
      <c r="J8" s="118" t="s">
        <v>378</v>
      </c>
    </row>
    <row r="9" spans="1:10" x14ac:dyDescent="0.2">
      <c r="A9" s="203">
        <v>12380</v>
      </c>
      <c r="B9" s="204" t="s">
        <v>130</v>
      </c>
      <c r="C9" s="578" t="s">
        <v>129</v>
      </c>
      <c r="D9" s="205" t="s">
        <v>4</v>
      </c>
      <c r="E9" s="206">
        <v>57700</v>
      </c>
      <c r="F9" s="206">
        <v>23185</v>
      </c>
      <c r="G9" s="206">
        <v>34515</v>
      </c>
      <c r="H9" s="210">
        <f t="shared" si="0"/>
        <v>0.40181975736568459</v>
      </c>
      <c r="I9" s="118" t="s">
        <v>379</v>
      </c>
      <c r="J9" s="118" t="s">
        <v>380</v>
      </c>
    </row>
    <row r="10" spans="1:10" x14ac:dyDescent="0.2">
      <c r="A10" s="203">
        <v>12850</v>
      </c>
      <c r="B10" s="204" t="s">
        <v>176</v>
      </c>
      <c r="C10" s="578" t="s">
        <v>129</v>
      </c>
      <c r="D10" s="205" t="s">
        <v>4</v>
      </c>
      <c r="E10" s="206">
        <v>68099</v>
      </c>
      <c r="F10" s="206">
        <v>37454</v>
      </c>
      <c r="G10" s="206">
        <v>30645</v>
      </c>
      <c r="H10" s="210">
        <f t="shared" si="0"/>
        <v>0.54999339197345043</v>
      </c>
      <c r="I10" s="118" t="s">
        <v>379</v>
      </c>
      <c r="J10" s="118" t="s">
        <v>380</v>
      </c>
    </row>
    <row r="11" spans="1:10" x14ac:dyDescent="0.2">
      <c r="A11" s="203">
        <v>14900</v>
      </c>
      <c r="B11" s="204" t="s">
        <v>207</v>
      </c>
      <c r="C11" s="578" t="s">
        <v>129</v>
      </c>
      <c r="D11" s="205" t="s">
        <v>4</v>
      </c>
      <c r="E11" s="206">
        <v>46780</v>
      </c>
      <c r="F11" s="206">
        <v>25729</v>
      </c>
      <c r="G11" s="206">
        <v>21051</v>
      </c>
      <c r="H11" s="210">
        <f t="shared" si="0"/>
        <v>0.55000000000000004</v>
      </c>
      <c r="I11" s="118" t="s">
        <v>381</v>
      </c>
      <c r="J11" s="118" t="s">
        <v>382</v>
      </c>
    </row>
    <row r="12" spans="1:10" x14ac:dyDescent="0.2">
      <c r="A12" s="203">
        <v>15700</v>
      </c>
      <c r="B12" s="204" t="s">
        <v>217</v>
      </c>
      <c r="C12" s="578" t="s">
        <v>294</v>
      </c>
      <c r="D12" s="205" t="s">
        <v>5</v>
      </c>
      <c r="E12" s="206">
        <v>2200</v>
      </c>
      <c r="F12" s="206">
        <v>28.139999999999873</v>
      </c>
      <c r="G12" s="206">
        <v>2171.86</v>
      </c>
      <c r="H12" s="210">
        <f t="shared" si="0"/>
        <v>1.2790909090909033E-2</v>
      </c>
      <c r="I12" s="118" t="s">
        <v>377</v>
      </c>
      <c r="J12" s="118" t="s">
        <v>378</v>
      </c>
    </row>
    <row r="13" spans="1:10" x14ac:dyDescent="0.2">
      <c r="A13" s="203">
        <v>15990</v>
      </c>
      <c r="B13" s="204" t="s">
        <v>211</v>
      </c>
      <c r="C13" s="578"/>
      <c r="D13" s="205"/>
      <c r="E13" s="206">
        <v>1267</v>
      </c>
      <c r="F13" s="206">
        <v>1023</v>
      </c>
      <c r="G13" s="206">
        <f>E13-F13</f>
        <v>244</v>
      </c>
      <c r="H13" s="210">
        <f t="shared" si="0"/>
        <v>0.80741910023677976</v>
      </c>
      <c r="I13" s="118"/>
      <c r="J13" s="118"/>
    </row>
    <row r="14" spans="1:10" x14ac:dyDescent="0.2">
      <c r="A14" s="203">
        <v>15950</v>
      </c>
      <c r="B14" s="204" t="s">
        <v>222</v>
      </c>
      <c r="C14" s="578" t="s">
        <v>190</v>
      </c>
      <c r="D14" s="205" t="s">
        <v>4</v>
      </c>
      <c r="E14" s="206">
        <v>13045.6</v>
      </c>
      <c r="F14" s="206">
        <v>7271.7999999999993</v>
      </c>
      <c r="G14" s="206">
        <v>5773.8000000000011</v>
      </c>
      <c r="H14" s="210">
        <f t="shared" si="0"/>
        <v>0.55741399399031089</v>
      </c>
      <c r="I14" s="118" t="s">
        <v>383</v>
      </c>
      <c r="J14" s="118" t="s">
        <v>380</v>
      </c>
    </row>
    <row r="15" spans="1:10" x14ac:dyDescent="0.2">
      <c r="A15" s="203">
        <v>16260</v>
      </c>
      <c r="B15" s="204" t="s">
        <v>227</v>
      </c>
      <c r="C15" s="578" t="s">
        <v>129</v>
      </c>
      <c r="D15" s="205" t="s">
        <v>4</v>
      </c>
      <c r="E15" s="206">
        <v>38901</v>
      </c>
      <c r="F15" s="206">
        <v>22455</v>
      </c>
      <c r="G15" s="206">
        <v>16446</v>
      </c>
      <c r="H15" s="210">
        <f t="shared" si="0"/>
        <v>0.57723451839284334</v>
      </c>
      <c r="I15" s="118" t="s">
        <v>384</v>
      </c>
      <c r="J15" s="118" t="s">
        <v>380</v>
      </c>
    </row>
    <row r="16" spans="1:10" x14ac:dyDescent="0.2">
      <c r="A16" s="203">
        <v>16350</v>
      </c>
      <c r="B16" s="204" t="s">
        <v>228</v>
      </c>
      <c r="C16" s="578" t="s">
        <v>129</v>
      </c>
      <c r="D16" s="205" t="s">
        <v>4</v>
      </c>
      <c r="E16" s="206">
        <v>32738</v>
      </c>
      <c r="F16" s="206">
        <v>5875</v>
      </c>
      <c r="G16" s="206">
        <v>26863</v>
      </c>
      <c r="H16" s="210">
        <f t="shared" si="0"/>
        <v>0.17945506750565093</v>
      </c>
      <c r="I16" s="118" t="s">
        <v>385</v>
      </c>
      <c r="J16" s="118" t="s">
        <v>386</v>
      </c>
    </row>
    <row r="17" spans="1:10" x14ac:dyDescent="0.2">
      <c r="A17" s="203">
        <v>16400</v>
      </c>
      <c r="B17" s="204" t="s">
        <v>229</v>
      </c>
      <c r="C17" s="578" t="s">
        <v>163</v>
      </c>
      <c r="D17" s="205" t="s">
        <v>3</v>
      </c>
      <c r="E17" s="206">
        <v>27133</v>
      </c>
      <c r="F17" s="206">
        <v>13542</v>
      </c>
      <c r="G17" s="206">
        <v>13591</v>
      </c>
      <c r="H17" s="210">
        <f t="shared" si="0"/>
        <v>0.49909704050418308</v>
      </c>
      <c r="I17" s="118" t="s">
        <v>385</v>
      </c>
      <c r="J17" s="118" t="s">
        <v>387</v>
      </c>
    </row>
    <row r="18" spans="1:10" x14ac:dyDescent="0.2">
      <c r="A18" s="203">
        <v>16550</v>
      </c>
      <c r="B18" s="204" t="s">
        <v>230</v>
      </c>
      <c r="C18" s="578" t="s">
        <v>127</v>
      </c>
      <c r="D18" s="205" t="s">
        <v>4</v>
      </c>
      <c r="E18" s="206">
        <v>27323</v>
      </c>
      <c r="F18" s="206">
        <v>10919</v>
      </c>
      <c r="G18" s="206">
        <v>16404</v>
      </c>
      <c r="H18" s="210">
        <f t="shared" si="0"/>
        <v>0.39962668813819857</v>
      </c>
      <c r="I18" s="118" t="s">
        <v>385</v>
      </c>
      <c r="J18" s="118" t="s">
        <v>388</v>
      </c>
    </row>
    <row r="19" spans="1:10" x14ac:dyDescent="0.2">
      <c r="A19" s="203">
        <v>17200</v>
      </c>
      <c r="B19" s="204" t="s">
        <v>238</v>
      </c>
      <c r="C19" s="578" t="s">
        <v>127</v>
      </c>
      <c r="D19" s="205" t="s">
        <v>4</v>
      </c>
      <c r="E19" s="206">
        <v>45062</v>
      </c>
      <c r="F19" s="206">
        <v>26052</v>
      </c>
      <c r="G19" s="206">
        <v>19010</v>
      </c>
      <c r="H19" s="210">
        <f t="shared" si="0"/>
        <v>0.57813678931250279</v>
      </c>
      <c r="I19" s="118" t="s">
        <v>385</v>
      </c>
      <c r="J19" s="118" t="s">
        <v>389</v>
      </c>
    </row>
    <row r="21" spans="1:10" x14ac:dyDescent="0.2">
      <c r="A21" s="683" t="s">
        <v>0</v>
      </c>
      <c r="B21" s="684"/>
      <c r="C21" s="575"/>
      <c r="D21" s="575"/>
      <c r="E21" s="207">
        <f>SUM(E4:E19)</f>
        <v>525058.49</v>
      </c>
      <c r="F21" s="207">
        <f>SUM(F4:F19)</f>
        <v>254149.19</v>
      </c>
      <c r="G21" s="207">
        <f>SUM(G4:G19)</f>
        <v>270909.3</v>
      </c>
      <c r="H21" s="208">
        <f>F21/E21</f>
        <v>0.48403976859797088</v>
      </c>
    </row>
    <row r="23" spans="1:10" x14ac:dyDescent="0.2">
      <c r="G23" s="336"/>
    </row>
  </sheetData>
  <mergeCells count="2">
    <mergeCell ref="A1:I1"/>
    <mergeCell ref="A21:B21"/>
  </mergeCells>
  <pageMargins left="0.25" right="0.25" top="0.75" bottom="0.75" header="0.3" footer="0.3"/>
  <pageSetup paperSize="9" scale="84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FB132"/>
  <sheetViews>
    <sheetView workbookViewId="0">
      <pane xSplit="5" ySplit="4" topLeftCell="F5" activePane="bottomRight" state="frozen"/>
      <selection activeCell="B36" sqref="B36"/>
      <selection pane="topRight" activeCell="B36" sqref="B36"/>
      <selection pane="bottomLeft" activeCell="B36" sqref="B36"/>
      <selection pane="bottomRight" activeCell="G4" sqref="G4"/>
    </sheetView>
  </sheetViews>
  <sheetFormatPr defaultRowHeight="12.75" x14ac:dyDescent="0.2"/>
  <cols>
    <col min="1" max="1" width="5.7109375" bestFit="1" customWidth="1"/>
    <col min="2" max="2" width="26" bestFit="1" customWidth="1"/>
    <col min="3" max="3" width="13.5703125" bestFit="1" customWidth="1"/>
    <col min="4" max="4" width="3" customWidth="1"/>
    <col min="5" max="5" width="0.85546875" style="3" customWidth="1"/>
    <col min="6" max="6" width="9.5703125" style="182" customWidth="1"/>
    <col min="7" max="16384" width="9.140625" style="2"/>
  </cols>
  <sheetData>
    <row r="1" spans="1:16382" s="312" customFormat="1" ht="15.75" x14ac:dyDescent="0.25">
      <c r="A1" s="124" t="s">
        <v>363</v>
      </c>
      <c r="C1" s="124"/>
      <c r="D1" s="124"/>
      <c r="E1" s="124"/>
      <c r="F1" s="31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312" customForma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</row>
    <row r="3" spans="1:16382" s="16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</row>
    <row r="4" spans="1:16382" ht="74.25" x14ac:dyDescent="0.2">
      <c r="A4" s="364" t="s">
        <v>285</v>
      </c>
      <c r="B4" s="445" t="s">
        <v>286</v>
      </c>
      <c r="C4" s="444" t="s">
        <v>108</v>
      </c>
      <c r="D4" s="446" t="s">
        <v>11</v>
      </c>
      <c r="E4" s="14"/>
      <c r="F4" s="310" t="s">
        <v>111</v>
      </c>
    </row>
    <row r="5" spans="1:16382" x14ac:dyDescent="0.2">
      <c r="A5" s="377">
        <v>10050</v>
      </c>
      <c r="B5" s="377" t="s">
        <v>124</v>
      </c>
      <c r="C5" s="377" t="s">
        <v>703</v>
      </c>
      <c r="D5" s="404" t="s">
        <v>2</v>
      </c>
      <c r="E5" s="181"/>
      <c r="F5" s="217">
        <v>250</v>
      </c>
    </row>
    <row r="6" spans="1:16382" x14ac:dyDescent="0.2">
      <c r="A6" s="376">
        <v>10130</v>
      </c>
      <c r="B6" s="376" t="s">
        <v>126</v>
      </c>
      <c r="C6" s="376" t="s">
        <v>125</v>
      </c>
      <c r="D6" s="404" t="s">
        <v>2</v>
      </c>
      <c r="E6" s="181"/>
      <c r="F6" s="217">
        <v>321</v>
      </c>
    </row>
    <row r="7" spans="1:16382" x14ac:dyDescent="0.2">
      <c r="A7" s="376">
        <v>10250</v>
      </c>
      <c r="B7" s="376" t="s">
        <v>132</v>
      </c>
      <c r="C7" s="376" t="s">
        <v>131</v>
      </c>
      <c r="D7" s="404" t="s">
        <v>5</v>
      </c>
      <c r="E7" s="181"/>
      <c r="F7" s="217">
        <v>374</v>
      </c>
    </row>
    <row r="8" spans="1:16382" x14ac:dyDescent="0.2">
      <c r="A8" s="376">
        <v>10300</v>
      </c>
      <c r="B8" s="376" t="s">
        <v>133</v>
      </c>
      <c r="C8" s="376" t="s">
        <v>703</v>
      </c>
      <c r="D8" s="404" t="s">
        <v>2</v>
      </c>
      <c r="E8" s="181"/>
      <c r="F8" s="217">
        <v>305</v>
      </c>
    </row>
    <row r="9" spans="1:16382" x14ac:dyDescent="0.2">
      <c r="A9" s="376">
        <v>10470</v>
      </c>
      <c r="B9" s="376" t="s">
        <v>135</v>
      </c>
      <c r="C9" s="376" t="s">
        <v>293</v>
      </c>
      <c r="D9" s="404" t="s">
        <v>2</v>
      </c>
      <c r="E9" s="181"/>
      <c r="F9" s="217">
        <v>368</v>
      </c>
    </row>
    <row r="10" spans="1:16382" x14ac:dyDescent="0.2">
      <c r="A10" s="376">
        <v>10500</v>
      </c>
      <c r="B10" s="376" t="s">
        <v>149</v>
      </c>
      <c r="C10" s="376" t="s">
        <v>127</v>
      </c>
      <c r="D10" s="404" t="s">
        <v>4</v>
      </c>
      <c r="E10" s="181"/>
      <c r="F10" s="217">
        <v>462</v>
      </c>
    </row>
    <row r="11" spans="1:16382" x14ac:dyDescent="0.2">
      <c r="A11" s="376">
        <v>10550</v>
      </c>
      <c r="B11" s="376" t="s">
        <v>138</v>
      </c>
      <c r="C11" s="376" t="s">
        <v>704</v>
      </c>
      <c r="D11" s="404" t="s">
        <v>2</v>
      </c>
      <c r="E11" s="181"/>
      <c r="F11" s="217">
        <v>402.5</v>
      </c>
    </row>
    <row r="12" spans="1:16382" x14ac:dyDescent="0.2">
      <c r="A12" s="376">
        <v>10600</v>
      </c>
      <c r="B12" s="376" t="s">
        <v>139</v>
      </c>
      <c r="C12" s="376" t="s">
        <v>294</v>
      </c>
      <c r="D12" s="404" t="s">
        <v>5</v>
      </c>
      <c r="E12" s="181"/>
      <c r="F12" s="217">
        <v>659</v>
      </c>
    </row>
    <row r="13" spans="1:16382" x14ac:dyDescent="0.2">
      <c r="A13" s="376">
        <v>10650</v>
      </c>
      <c r="B13" s="376" t="s">
        <v>140</v>
      </c>
      <c r="C13" s="376" t="s">
        <v>703</v>
      </c>
      <c r="D13" s="404" t="s">
        <v>2</v>
      </c>
      <c r="E13" s="181"/>
      <c r="F13" s="217">
        <v>279</v>
      </c>
    </row>
    <row r="14" spans="1:16382" x14ac:dyDescent="0.2">
      <c r="A14" s="376">
        <v>10750</v>
      </c>
      <c r="B14" s="376" t="s">
        <v>141</v>
      </c>
      <c r="C14" s="376" t="s">
        <v>129</v>
      </c>
      <c r="D14" s="404" t="s">
        <v>4</v>
      </c>
      <c r="E14" s="181"/>
      <c r="F14" s="217">
        <v>472</v>
      </c>
    </row>
    <row r="15" spans="1:16382" x14ac:dyDescent="0.2">
      <c r="A15" s="376">
        <v>10800</v>
      </c>
      <c r="B15" s="376" t="s">
        <v>143</v>
      </c>
      <c r="C15" s="376" t="s">
        <v>142</v>
      </c>
      <c r="D15" s="404" t="s">
        <v>2</v>
      </c>
      <c r="E15" s="181"/>
      <c r="F15" s="217">
        <v>344</v>
      </c>
    </row>
    <row r="16" spans="1:16382" x14ac:dyDescent="0.2">
      <c r="A16" s="376">
        <v>10850</v>
      </c>
      <c r="B16" s="376" t="s">
        <v>144</v>
      </c>
      <c r="C16" s="376" t="s">
        <v>293</v>
      </c>
      <c r="D16" s="404" t="s">
        <v>2</v>
      </c>
      <c r="E16" s="181"/>
      <c r="F16" s="217">
        <v>412</v>
      </c>
    </row>
    <row r="17" spans="1:6" x14ac:dyDescent="0.2">
      <c r="A17" s="376">
        <v>10900</v>
      </c>
      <c r="B17" s="376" t="s">
        <v>145</v>
      </c>
      <c r="C17" s="376" t="s">
        <v>129</v>
      </c>
      <c r="D17" s="404" t="s">
        <v>5</v>
      </c>
      <c r="E17" s="181"/>
      <c r="F17" s="217">
        <v>390</v>
      </c>
    </row>
    <row r="18" spans="1:6" x14ac:dyDescent="0.2">
      <c r="A18" s="376">
        <v>10950</v>
      </c>
      <c r="B18" s="376" t="s">
        <v>146</v>
      </c>
      <c r="C18" s="376" t="s">
        <v>293</v>
      </c>
      <c r="D18" s="404" t="s">
        <v>2</v>
      </c>
      <c r="E18" s="181"/>
      <c r="F18" s="217">
        <v>218</v>
      </c>
    </row>
    <row r="19" spans="1:6" x14ac:dyDescent="0.2">
      <c r="A19" s="376">
        <v>11150</v>
      </c>
      <c r="B19" s="376" t="s">
        <v>150</v>
      </c>
      <c r="C19" s="376" t="s">
        <v>293</v>
      </c>
      <c r="D19" s="404" t="s">
        <v>2</v>
      </c>
      <c r="E19" s="181"/>
      <c r="F19" s="217">
        <v>279</v>
      </c>
    </row>
    <row r="20" spans="1:6" x14ac:dyDescent="0.2">
      <c r="A20" s="376">
        <v>11200</v>
      </c>
      <c r="B20" s="376" t="s">
        <v>151</v>
      </c>
      <c r="C20" s="376" t="s">
        <v>293</v>
      </c>
      <c r="D20" s="404" t="s">
        <v>2</v>
      </c>
      <c r="E20" s="181"/>
      <c r="F20" s="217">
        <v>444</v>
      </c>
    </row>
    <row r="21" spans="1:6" x14ac:dyDescent="0.2">
      <c r="A21" s="376">
        <v>11250</v>
      </c>
      <c r="B21" s="376" t="s">
        <v>152</v>
      </c>
      <c r="C21" s="376" t="s">
        <v>293</v>
      </c>
      <c r="D21" s="404" t="s">
        <v>2</v>
      </c>
      <c r="E21" s="181"/>
      <c r="F21" s="217">
        <v>252</v>
      </c>
    </row>
    <row r="22" spans="1:6" x14ac:dyDescent="0.2">
      <c r="A22" s="376">
        <v>11300</v>
      </c>
      <c r="B22" s="376" t="s">
        <v>153</v>
      </c>
      <c r="C22" s="376" t="s">
        <v>127</v>
      </c>
      <c r="D22" s="404" t="s">
        <v>4</v>
      </c>
      <c r="E22" s="181"/>
      <c r="F22" s="217">
        <v>367</v>
      </c>
    </row>
    <row r="23" spans="1:6" x14ac:dyDescent="0.2">
      <c r="A23" s="376">
        <v>11350</v>
      </c>
      <c r="B23" s="376" t="s">
        <v>154</v>
      </c>
      <c r="C23" s="376" t="s">
        <v>131</v>
      </c>
      <c r="D23" s="404" t="s">
        <v>5</v>
      </c>
      <c r="E23" s="181"/>
      <c r="F23" s="217">
        <v>260</v>
      </c>
    </row>
    <row r="24" spans="1:6" x14ac:dyDescent="0.2">
      <c r="A24" s="376">
        <v>11400</v>
      </c>
      <c r="B24" s="376" t="s">
        <v>155</v>
      </c>
      <c r="C24" s="376" t="s">
        <v>293</v>
      </c>
      <c r="D24" s="404" t="s">
        <v>2</v>
      </c>
      <c r="E24" s="181"/>
      <c r="F24" s="217">
        <v>338.9</v>
      </c>
    </row>
    <row r="25" spans="1:6" x14ac:dyDescent="0.2">
      <c r="A25" s="376">
        <v>11450</v>
      </c>
      <c r="B25" s="376" t="s">
        <v>157</v>
      </c>
      <c r="C25" s="376" t="s">
        <v>156</v>
      </c>
      <c r="D25" s="404" t="s">
        <v>4</v>
      </c>
      <c r="E25" s="181"/>
      <c r="F25" s="217">
        <v>601.29999999999995</v>
      </c>
    </row>
    <row r="26" spans="1:6" x14ac:dyDescent="0.2">
      <c r="A26" s="376">
        <v>11500</v>
      </c>
      <c r="B26" s="376" t="s">
        <v>158</v>
      </c>
      <c r="C26" s="376" t="s">
        <v>156</v>
      </c>
      <c r="D26" s="404" t="s">
        <v>4</v>
      </c>
      <c r="E26" s="181"/>
      <c r="F26" s="217">
        <v>329.3</v>
      </c>
    </row>
    <row r="27" spans="1:6" x14ac:dyDescent="0.2">
      <c r="A27" s="376">
        <v>11520</v>
      </c>
      <c r="B27" s="376" t="s">
        <v>159</v>
      </c>
      <c r="C27" s="376" t="s">
        <v>127</v>
      </c>
      <c r="D27" s="404" t="s">
        <v>4</v>
      </c>
      <c r="E27" s="181"/>
      <c r="F27" s="217">
        <v>372.5</v>
      </c>
    </row>
    <row r="28" spans="1:6" x14ac:dyDescent="0.2">
      <c r="A28" s="376">
        <v>11570</v>
      </c>
      <c r="B28" s="376" t="s">
        <v>134</v>
      </c>
      <c r="C28" s="376" t="s">
        <v>127</v>
      </c>
      <c r="D28" s="404" t="s">
        <v>4</v>
      </c>
      <c r="E28" s="181"/>
      <c r="F28" s="217">
        <v>450</v>
      </c>
    </row>
    <row r="29" spans="1:6" x14ac:dyDescent="0.2">
      <c r="A29" s="376">
        <v>11600</v>
      </c>
      <c r="B29" s="376" t="s">
        <v>161</v>
      </c>
      <c r="C29" s="376" t="s">
        <v>705</v>
      </c>
      <c r="D29" s="404" t="s">
        <v>2</v>
      </c>
      <c r="E29" s="181"/>
      <c r="F29" s="217">
        <v>180</v>
      </c>
    </row>
    <row r="30" spans="1:6" x14ac:dyDescent="0.2">
      <c r="A30" s="376">
        <v>11650</v>
      </c>
      <c r="B30" s="376" t="s">
        <v>181</v>
      </c>
      <c r="C30" s="376" t="s">
        <v>163</v>
      </c>
      <c r="D30" s="404" t="s">
        <v>3</v>
      </c>
      <c r="E30" s="181"/>
      <c r="F30" s="217">
        <v>447</v>
      </c>
    </row>
    <row r="31" spans="1:6" x14ac:dyDescent="0.2">
      <c r="A31" s="376">
        <v>11700</v>
      </c>
      <c r="B31" s="376" t="s">
        <v>162</v>
      </c>
      <c r="C31" s="376" t="s">
        <v>293</v>
      </c>
      <c r="D31" s="404" t="s">
        <v>2</v>
      </c>
      <c r="E31" s="181"/>
      <c r="F31" s="217">
        <v>510</v>
      </c>
    </row>
    <row r="32" spans="1:6" x14ac:dyDescent="0.2">
      <c r="A32" s="376">
        <v>11720</v>
      </c>
      <c r="B32" s="376" t="s">
        <v>164</v>
      </c>
      <c r="C32" s="376" t="s">
        <v>163</v>
      </c>
      <c r="D32" s="404" t="s">
        <v>3</v>
      </c>
      <c r="E32" s="181"/>
      <c r="F32" s="217">
        <v>540</v>
      </c>
    </row>
    <row r="33" spans="1:6" x14ac:dyDescent="0.2">
      <c r="A33" s="376">
        <v>11730</v>
      </c>
      <c r="B33" s="376" t="s">
        <v>165</v>
      </c>
      <c r="C33" s="376" t="s">
        <v>131</v>
      </c>
      <c r="D33" s="404" t="s">
        <v>5</v>
      </c>
      <c r="E33" s="181"/>
      <c r="F33" s="217">
        <v>310</v>
      </c>
    </row>
    <row r="34" spans="1:6" x14ac:dyDescent="0.2">
      <c r="A34" s="376">
        <v>11750</v>
      </c>
      <c r="B34" s="376" t="s">
        <v>166</v>
      </c>
      <c r="C34" s="376" t="s">
        <v>293</v>
      </c>
      <c r="D34" s="404" t="s">
        <v>2</v>
      </c>
      <c r="E34" s="181"/>
      <c r="F34" s="217">
        <v>225</v>
      </c>
    </row>
    <row r="35" spans="1:6" x14ac:dyDescent="0.2">
      <c r="A35" s="376">
        <v>11800</v>
      </c>
      <c r="B35" s="376" t="s">
        <v>167</v>
      </c>
      <c r="C35" s="376" t="s">
        <v>294</v>
      </c>
      <c r="D35" s="404" t="s">
        <v>5</v>
      </c>
      <c r="E35" s="181"/>
      <c r="F35" s="217">
        <v>636</v>
      </c>
    </row>
    <row r="36" spans="1:6" x14ac:dyDescent="0.2">
      <c r="A36" s="376">
        <v>12000</v>
      </c>
      <c r="B36" s="376" t="s">
        <v>169</v>
      </c>
      <c r="C36" s="376" t="s">
        <v>142</v>
      </c>
      <c r="D36" s="404" t="s">
        <v>2</v>
      </c>
      <c r="E36" s="181"/>
      <c r="F36" s="217">
        <v>265</v>
      </c>
    </row>
    <row r="37" spans="1:6" x14ac:dyDescent="0.2">
      <c r="A37" s="376">
        <v>12150</v>
      </c>
      <c r="B37" s="376" t="s">
        <v>170</v>
      </c>
      <c r="C37" s="376" t="s">
        <v>293</v>
      </c>
      <c r="D37" s="404" t="s">
        <v>2</v>
      </c>
      <c r="E37" s="181"/>
      <c r="F37" s="217">
        <v>280</v>
      </c>
    </row>
    <row r="38" spans="1:6" x14ac:dyDescent="0.2">
      <c r="A38" s="376">
        <v>12350</v>
      </c>
      <c r="B38" s="376" t="s">
        <v>172</v>
      </c>
      <c r="C38" s="376" t="s">
        <v>293</v>
      </c>
      <c r="D38" s="404" t="s">
        <v>2</v>
      </c>
      <c r="E38" s="181"/>
      <c r="F38" s="217">
        <v>595</v>
      </c>
    </row>
    <row r="39" spans="1:6" x14ac:dyDescent="0.2">
      <c r="A39" s="376">
        <v>12380</v>
      </c>
      <c r="B39" s="376" t="s">
        <v>130</v>
      </c>
      <c r="C39" s="376" t="s">
        <v>129</v>
      </c>
      <c r="D39" s="404" t="s">
        <v>4</v>
      </c>
      <c r="E39" s="181"/>
      <c r="F39" s="217">
        <v>447</v>
      </c>
    </row>
    <row r="40" spans="1:6" x14ac:dyDescent="0.2">
      <c r="A40" s="376">
        <v>12700</v>
      </c>
      <c r="B40" s="376" t="s">
        <v>174</v>
      </c>
      <c r="C40" s="376" t="s">
        <v>163</v>
      </c>
      <c r="D40" s="404" t="s">
        <v>5</v>
      </c>
      <c r="E40" s="181"/>
      <c r="F40" s="217">
        <v>386.9</v>
      </c>
    </row>
    <row r="41" spans="1:6" x14ac:dyDescent="0.2">
      <c r="A41" s="376">
        <v>12730</v>
      </c>
      <c r="B41" s="376" t="s">
        <v>168</v>
      </c>
      <c r="C41" s="376" t="s">
        <v>703</v>
      </c>
      <c r="D41" s="404" t="s">
        <v>2</v>
      </c>
      <c r="E41" s="181"/>
      <c r="F41" s="217">
        <v>343.5</v>
      </c>
    </row>
    <row r="42" spans="1:6" x14ac:dyDescent="0.2">
      <c r="A42" s="376">
        <v>12750</v>
      </c>
      <c r="B42" s="376" t="s">
        <v>175</v>
      </c>
      <c r="C42" s="376" t="s">
        <v>704</v>
      </c>
      <c r="D42" s="404" t="s">
        <v>2</v>
      </c>
      <c r="E42" s="181"/>
      <c r="F42" s="217">
        <v>302.3</v>
      </c>
    </row>
    <row r="43" spans="1:6" x14ac:dyDescent="0.2">
      <c r="A43" s="376">
        <v>12850</v>
      </c>
      <c r="B43" s="376" t="s">
        <v>176</v>
      </c>
      <c r="C43" s="376" t="s">
        <v>129</v>
      </c>
      <c r="D43" s="404" t="s">
        <v>4</v>
      </c>
      <c r="E43" s="181"/>
      <c r="F43" s="217">
        <v>478.64</v>
      </c>
    </row>
    <row r="44" spans="1:6" x14ac:dyDescent="0.2">
      <c r="A44" s="376">
        <v>12870</v>
      </c>
      <c r="B44" s="376" t="s">
        <v>171</v>
      </c>
      <c r="C44" s="376" t="s">
        <v>703</v>
      </c>
      <c r="D44" s="404" t="s">
        <v>2</v>
      </c>
      <c r="E44" s="181"/>
      <c r="F44" s="217">
        <v>270</v>
      </c>
    </row>
    <row r="45" spans="1:6" x14ac:dyDescent="0.2">
      <c r="A45" s="376">
        <v>12900</v>
      </c>
      <c r="B45" s="376" t="s">
        <v>177</v>
      </c>
      <c r="C45" s="376" t="s">
        <v>293</v>
      </c>
      <c r="D45" s="404" t="s">
        <v>2</v>
      </c>
      <c r="E45" s="181"/>
      <c r="F45" s="217">
        <v>455</v>
      </c>
    </row>
    <row r="46" spans="1:6" x14ac:dyDescent="0.2">
      <c r="A46" s="376">
        <v>12930</v>
      </c>
      <c r="B46" s="376" t="s">
        <v>193</v>
      </c>
      <c r="C46" s="376" t="s">
        <v>127</v>
      </c>
      <c r="D46" s="404" t="s">
        <v>4</v>
      </c>
      <c r="E46" s="181"/>
      <c r="F46" s="217">
        <v>405.84</v>
      </c>
    </row>
    <row r="47" spans="1:6" x14ac:dyDescent="0.2">
      <c r="A47" s="376">
        <v>12950</v>
      </c>
      <c r="B47" s="376" t="s">
        <v>178</v>
      </c>
      <c r="C47" s="376" t="s">
        <v>293</v>
      </c>
      <c r="D47" s="404" t="s">
        <v>2</v>
      </c>
      <c r="E47" s="181"/>
      <c r="F47" s="217">
        <v>379</v>
      </c>
    </row>
    <row r="48" spans="1:6" x14ac:dyDescent="0.2">
      <c r="A48" s="376">
        <v>13010</v>
      </c>
      <c r="B48" s="376" t="s">
        <v>179</v>
      </c>
      <c r="C48" s="376" t="s">
        <v>125</v>
      </c>
      <c r="D48" s="404" t="s">
        <v>2</v>
      </c>
      <c r="E48" s="181"/>
      <c r="F48" s="217">
        <v>300</v>
      </c>
    </row>
    <row r="49" spans="1:6" x14ac:dyDescent="0.2">
      <c r="A49" s="376">
        <v>13310</v>
      </c>
      <c r="B49" s="376" t="s">
        <v>182</v>
      </c>
      <c r="C49" s="376" t="s">
        <v>704</v>
      </c>
      <c r="D49" s="404" t="s">
        <v>2</v>
      </c>
      <c r="E49" s="181"/>
      <c r="F49" s="217">
        <v>287</v>
      </c>
    </row>
    <row r="50" spans="1:6" x14ac:dyDescent="0.2">
      <c r="A50" s="376">
        <v>13340</v>
      </c>
      <c r="B50" s="376" t="s">
        <v>183</v>
      </c>
      <c r="C50" s="376" t="s">
        <v>703</v>
      </c>
      <c r="D50" s="404" t="s">
        <v>2</v>
      </c>
      <c r="E50" s="181"/>
      <c r="F50" s="217">
        <v>239</v>
      </c>
    </row>
    <row r="51" spans="1:6" x14ac:dyDescent="0.2">
      <c r="A51" s="376">
        <v>13450</v>
      </c>
      <c r="B51" s="376" t="s">
        <v>184</v>
      </c>
      <c r="C51" s="376" t="s">
        <v>705</v>
      </c>
      <c r="D51" s="404" t="s">
        <v>2</v>
      </c>
      <c r="E51" s="181"/>
      <c r="F51" s="217">
        <v>268</v>
      </c>
    </row>
    <row r="52" spans="1:6" x14ac:dyDescent="0.2">
      <c r="A52" s="376">
        <v>13510</v>
      </c>
      <c r="B52" s="376" t="s">
        <v>295</v>
      </c>
      <c r="C52" s="376" t="s">
        <v>142</v>
      </c>
      <c r="D52" s="404" t="s">
        <v>2</v>
      </c>
      <c r="E52" s="181"/>
      <c r="F52" s="217">
        <v>385.5</v>
      </c>
    </row>
    <row r="53" spans="1:6" x14ac:dyDescent="0.2">
      <c r="A53" s="376">
        <v>13550</v>
      </c>
      <c r="B53" s="376" t="s">
        <v>185</v>
      </c>
      <c r="C53" s="376" t="s">
        <v>125</v>
      </c>
      <c r="D53" s="404" t="s">
        <v>2</v>
      </c>
      <c r="E53" s="181"/>
      <c r="F53" s="217">
        <v>344</v>
      </c>
    </row>
    <row r="54" spans="1:6" x14ac:dyDescent="0.2">
      <c r="A54" s="376">
        <v>13660</v>
      </c>
      <c r="B54" s="376" t="s">
        <v>186</v>
      </c>
      <c r="C54" s="376" t="s">
        <v>125</v>
      </c>
      <c r="D54" s="404" t="s">
        <v>2</v>
      </c>
      <c r="E54" s="181"/>
      <c r="F54" s="217">
        <v>422</v>
      </c>
    </row>
    <row r="55" spans="1:6" x14ac:dyDescent="0.2">
      <c r="A55" s="376">
        <v>13800</v>
      </c>
      <c r="B55" s="376" t="s">
        <v>188</v>
      </c>
      <c r="C55" s="376" t="s">
        <v>129</v>
      </c>
      <c r="D55" s="404" t="s">
        <v>3</v>
      </c>
      <c r="E55" s="181"/>
      <c r="F55" s="217">
        <v>515.21</v>
      </c>
    </row>
    <row r="56" spans="1:6" x14ac:dyDescent="0.2">
      <c r="A56" s="376">
        <v>13850</v>
      </c>
      <c r="B56" s="376" t="s">
        <v>189</v>
      </c>
      <c r="C56" s="376" t="s">
        <v>705</v>
      </c>
      <c r="D56" s="404" t="s">
        <v>2</v>
      </c>
      <c r="E56" s="181"/>
      <c r="F56" s="217">
        <v>262</v>
      </c>
    </row>
    <row r="57" spans="1:6" x14ac:dyDescent="0.2">
      <c r="A57" s="376">
        <v>13910</v>
      </c>
      <c r="B57" s="376" t="s">
        <v>148</v>
      </c>
      <c r="C57" s="376" t="s">
        <v>704</v>
      </c>
      <c r="D57" s="404" t="s">
        <v>2</v>
      </c>
      <c r="E57" s="181"/>
      <c r="F57" s="217">
        <v>382.5</v>
      </c>
    </row>
    <row r="58" spans="1:6" x14ac:dyDescent="0.2">
      <c r="A58" s="376">
        <v>14000</v>
      </c>
      <c r="B58" s="376" t="s">
        <v>191</v>
      </c>
      <c r="C58" s="376" t="s">
        <v>190</v>
      </c>
      <c r="D58" s="404" t="s">
        <v>4</v>
      </c>
      <c r="E58" s="181"/>
      <c r="F58" s="217">
        <v>436</v>
      </c>
    </row>
    <row r="59" spans="1:6" x14ac:dyDescent="0.2">
      <c r="A59" s="376">
        <v>14100</v>
      </c>
      <c r="B59" s="376" t="s">
        <v>192</v>
      </c>
      <c r="C59" s="376" t="s">
        <v>190</v>
      </c>
      <c r="D59" s="404" t="s">
        <v>4</v>
      </c>
      <c r="E59" s="181"/>
      <c r="F59" s="217">
        <v>493.95</v>
      </c>
    </row>
    <row r="60" spans="1:6" x14ac:dyDescent="0.2">
      <c r="A60" s="376">
        <v>14170</v>
      </c>
      <c r="B60" s="376" t="s">
        <v>128</v>
      </c>
      <c r="C60" s="376" t="s">
        <v>127</v>
      </c>
      <c r="D60" s="404" t="s">
        <v>4</v>
      </c>
      <c r="E60" s="181"/>
      <c r="F60" s="217">
        <v>386.28</v>
      </c>
    </row>
    <row r="61" spans="1:6" x14ac:dyDescent="0.2">
      <c r="A61" s="376">
        <v>14200</v>
      </c>
      <c r="B61" s="376" t="s">
        <v>194</v>
      </c>
      <c r="C61" s="376" t="s">
        <v>125</v>
      </c>
      <c r="D61" s="404" t="s">
        <v>2</v>
      </c>
      <c r="E61" s="181"/>
      <c r="F61" s="217">
        <v>300</v>
      </c>
    </row>
    <row r="62" spans="1:6" x14ac:dyDescent="0.2">
      <c r="A62" s="376">
        <v>14300</v>
      </c>
      <c r="B62" s="376" t="s">
        <v>196</v>
      </c>
      <c r="C62" s="376" t="s">
        <v>142</v>
      </c>
      <c r="D62" s="404" t="s">
        <v>2</v>
      </c>
      <c r="E62" s="181"/>
      <c r="F62" s="217">
        <v>277</v>
      </c>
    </row>
    <row r="63" spans="1:6" x14ac:dyDescent="0.2">
      <c r="A63" s="376">
        <v>14350</v>
      </c>
      <c r="B63" s="376" t="s">
        <v>197</v>
      </c>
      <c r="C63" s="376" t="s">
        <v>294</v>
      </c>
      <c r="D63" s="404" t="s">
        <v>5</v>
      </c>
      <c r="E63" s="181"/>
      <c r="F63" s="217">
        <v>422</v>
      </c>
    </row>
    <row r="64" spans="1:6" x14ac:dyDescent="0.2">
      <c r="A64" s="376">
        <v>14400</v>
      </c>
      <c r="B64" s="376" t="s">
        <v>198</v>
      </c>
      <c r="C64" s="376" t="s">
        <v>291</v>
      </c>
      <c r="D64" s="404" t="s">
        <v>3</v>
      </c>
      <c r="E64" s="181"/>
      <c r="F64" s="217">
        <v>528.6</v>
      </c>
    </row>
    <row r="65" spans="1:6" x14ac:dyDescent="0.2">
      <c r="A65" s="376">
        <v>14500</v>
      </c>
      <c r="B65" s="376" t="s">
        <v>199</v>
      </c>
      <c r="C65" s="376" t="s">
        <v>190</v>
      </c>
      <c r="D65" s="404" t="s">
        <v>4</v>
      </c>
      <c r="E65" s="181"/>
      <c r="F65" s="217">
        <v>455</v>
      </c>
    </row>
    <row r="66" spans="1:6" x14ac:dyDescent="0.2">
      <c r="A66" s="376">
        <v>14550</v>
      </c>
      <c r="B66" s="376" t="s">
        <v>200</v>
      </c>
      <c r="C66" s="376" t="s">
        <v>131</v>
      </c>
      <c r="D66" s="404" t="s">
        <v>5</v>
      </c>
      <c r="E66" s="181"/>
      <c r="F66" s="217">
        <v>450</v>
      </c>
    </row>
    <row r="67" spans="1:6" x14ac:dyDescent="0.2">
      <c r="A67" s="376">
        <v>14600</v>
      </c>
      <c r="B67" s="376" t="s">
        <v>201</v>
      </c>
      <c r="C67" s="376" t="s">
        <v>293</v>
      </c>
      <c r="D67" s="404" t="s">
        <v>2</v>
      </c>
      <c r="E67" s="181"/>
      <c r="F67" s="217">
        <v>326</v>
      </c>
    </row>
    <row r="68" spans="1:6" x14ac:dyDescent="0.2">
      <c r="A68" s="376">
        <v>14650</v>
      </c>
      <c r="B68" s="376" t="s">
        <v>202</v>
      </c>
      <c r="C68" s="376" t="s">
        <v>163</v>
      </c>
      <c r="D68" s="404" t="s">
        <v>3</v>
      </c>
      <c r="E68" s="181"/>
      <c r="F68" s="217">
        <v>419</v>
      </c>
    </row>
    <row r="69" spans="1:6" x14ac:dyDescent="0.2">
      <c r="A69" s="376">
        <v>14700</v>
      </c>
      <c r="B69" s="376" t="s">
        <v>203</v>
      </c>
      <c r="C69" s="376" t="s">
        <v>190</v>
      </c>
      <c r="D69" s="404" t="s">
        <v>4</v>
      </c>
      <c r="E69" s="181"/>
      <c r="F69" s="217">
        <v>425</v>
      </c>
    </row>
    <row r="70" spans="1:6" x14ac:dyDescent="0.2">
      <c r="A70" s="376">
        <v>14750</v>
      </c>
      <c r="B70" s="376" t="s">
        <v>204</v>
      </c>
      <c r="C70" s="376" t="s">
        <v>705</v>
      </c>
      <c r="D70" s="404" t="s">
        <v>2</v>
      </c>
      <c r="E70" s="181"/>
      <c r="F70" s="217">
        <v>249</v>
      </c>
    </row>
    <row r="71" spans="1:6" x14ac:dyDescent="0.2">
      <c r="A71" s="376">
        <v>14850</v>
      </c>
      <c r="B71" s="376" t="s">
        <v>205</v>
      </c>
      <c r="C71" s="376" t="s">
        <v>131</v>
      </c>
      <c r="D71" s="404" t="s">
        <v>5</v>
      </c>
      <c r="E71" s="181"/>
      <c r="F71" s="217">
        <v>290</v>
      </c>
    </row>
    <row r="72" spans="1:6" x14ac:dyDescent="0.2">
      <c r="A72" s="376">
        <v>14870</v>
      </c>
      <c r="B72" s="376" t="s">
        <v>206</v>
      </c>
      <c r="C72" s="376" t="s">
        <v>293</v>
      </c>
      <c r="D72" s="404" t="s">
        <v>2</v>
      </c>
      <c r="E72" s="181"/>
      <c r="F72" s="217">
        <v>383.73</v>
      </c>
    </row>
    <row r="73" spans="1:6" x14ac:dyDescent="0.2">
      <c r="A73" s="376">
        <v>14900</v>
      </c>
      <c r="B73" s="376" t="s">
        <v>207</v>
      </c>
      <c r="C73" s="376" t="s">
        <v>129</v>
      </c>
      <c r="D73" s="404" t="s">
        <v>4</v>
      </c>
      <c r="E73" s="181"/>
      <c r="F73" s="217">
        <v>411</v>
      </c>
    </row>
    <row r="74" spans="1:6" x14ac:dyDescent="0.2">
      <c r="A74" s="376">
        <v>14920</v>
      </c>
      <c r="B74" s="376" t="s">
        <v>208</v>
      </c>
      <c r="C74" s="376" t="s">
        <v>125</v>
      </c>
      <c r="D74" s="404" t="s">
        <v>2</v>
      </c>
      <c r="E74" s="181"/>
      <c r="F74" s="217">
        <v>355</v>
      </c>
    </row>
    <row r="75" spans="1:6" x14ac:dyDescent="0.2">
      <c r="A75" s="376">
        <v>14950</v>
      </c>
      <c r="B75" s="376" t="s">
        <v>209</v>
      </c>
      <c r="C75" s="376" t="s">
        <v>142</v>
      </c>
      <c r="D75" s="404" t="s">
        <v>2</v>
      </c>
      <c r="E75" s="181"/>
      <c r="F75" s="217">
        <v>365</v>
      </c>
    </row>
    <row r="76" spans="1:6" x14ac:dyDescent="0.2">
      <c r="A76" s="376">
        <v>15050</v>
      </c>
      <c r="B76" s="376" t="s">
        <v>210</v>
      </c>
      <c r="C76" s="376" t="s">
        <v>163</v>
      </c>
      <c r="D76" s="404" t="s">
        <v>3</v>
      </c>
      <c r="E76" s="181"/>
      <c r="F76" s="217">
        <v>461.75</v>
      </c>
    </row>
    <row r="77" spans="1:6" x14ac:dyDescent="0.2">
      <c r="A77" s="376">
        <v>15240</v>
      </c>
      <c r="B77" s="376" t="s">
        <v>180</v>
      </c>
      <c r="C77" s="376" t="s">
        <v>294</v>
      </c>
      <c r="D77" s="404" t="s">
        <v>5</v>
      </c>
      <c r="E77" s="181"/>
      <c r="F77" s="217">
        <v>436.33</v>
      </c>
    </row>
    <row r="78" spans="1:6" x14ac:dyDescent="0.2">
      <c r="A78" s="376">
        <v>15270</v>
      </c>
      <c r="B78" s="376" t="s">
        <v>212</v>
      </c>
      <c r="C78" s="376" t="s">
        <v>293</v>
      </c>
      <c r="D78" s="404" t="s">
        <v>2</v>
      </c>
      <c r="E78" s="181"/>
      <c r="F78" s="217">
        <v>171</v>
      </c>
    </row>
    <row r="79" spans="1:6" x14ac:dyDescent="0.2">
      <c r="A79" s="376">
        <v>15300</v>
      </c>
      <c r="B79" s="376" t="s">
        <v>213</v>
      </c>
      <c r="C79" s="376" t="s">
        <v>125</v>
      </c>
      <c r="D79" s="404" t="s">
        <v>2</v>
      </c>
      <c r="E79" s="181"/>
      <c r="F79" s="217">
        <v>438.35</v>
      </c>
    </row>
    <row r="80" spans="1:6" x14ac:dyDescent="0.2">
      <c r="A80" s="376">
        <v>15350</v>
      </c>
      <c r="B80" s="376" t="s">
        <v>214</v>
      </c>
      <c r="C80" s="376" t="s">
        <v>190</v>
      </c>
      <c r="D80" s="404" t="s">
        <v>4</v>
      </c>
      <c r="E80" s="181"/>
      <c r="F80" s="217">
        <v>348</v>
      </c>
    </row>
    <row r="81" spans="1:6" x14ac:dyDescent="0.2">
      <c r="A81" s="376">
        <v>15520</v>
      </c>
      <c r="B81" s="376" t="s">
        <v>215</v>
      </c>
      <c r="C81" s="376" t="s">
        <v>703</v>
      </c>
      <c r="D81" s="404" t="s">
        <v>2</v>
      </c>
      <c r="E81" s="181"/>
      <c r="F81" s="217">
        <v>198.99</v>
      </c>
    </row>
    <row r="82" spans="1:6" x14ac:dyDescent="0.2">
      <c r="A82" s="376">
        <v>15560</v>
      </c>
      <c r="B82" s="376" t="s">
        <v>195</v>
      </c>
      <c r="C82" s="376" t="s">
        <v>705</v>
      </c>
      <c r="D82" s="404" t="s">
        <v>2</v>
      </c>
      <c r="E82" s="181"/>
      <c r="F82" s="217">
        <v>155</v>
      </c>
    </row>
    <row r="83" spans="1:6" x14ac:dyDescent="0.2">
      <c r="A83" s="376">
        <v>15650</v>
      </c>
      <c r="B83" s="376" t="s">
        <v>216</v>
      </c>
      <c r="C83" s="376" t="s">
        <v>163</v>
      </c>
      <c r="D83" s="404" t="s">
        <v>5</v>
      </c>
      <c r="E83" s="181"/>
      <c r="F83" s="217">
        <v>361</v>
      </c>
    </row>
    <row r="84" spans="1:6" x14ac:dyDescent="0.2">
      <c r="A84" s="376">
        <v>15700</v>
      </c>
      <c r="B84" s="376" t="s">
        <v>217</v>
      </c>
      <c r="C84" s="376" t="s">
        <v>294</v>
      </c>
      <c r="D84" s="404" t="s">
        <v>5</v>
      </c>
      <c r="E84" s="181"/>
      <c r="F84" s="217">
        <v>527</v>
      </c>
    </row>
    <row r="85" spans="1:6" x14ac:dyDescent="0.2">
      <c r="A85" s="376">
        <v>15750</v>
      </c>
      <c r="B85" s="376" t="s">
        <v>218</v>
      </c>
      <c r="C85" s="376" t="s">
        <v>125</v>
      </c>
      <c r="D85" s="404" t="s">
        <v>2</v>
      </c>
      <c r="E85" s="181"/>
      <c r="F85" s="217">
        <v>310</v>
      </c>
    </row>
    <row r="86" spans="1:6" x14ac:dyDescent="0.2">
      <c r="A86" s="376">
        <v>15800</v>
      </c>
      <c r="B86" s="376" t="s">
        <v>219</v>
      </c>
      <c r="C86" s="376" t="s">
        <v>705</v>
      </c>
      <c r="D86" s="404" t="s">
        <v>2</v>
      </c>
      <c r="E86" s="181"/>
      <c r="F86" s="217">
        <v>48.5</v>
      </c>
    </row>
    <row r="87" spans="1:6" x14ac:dyDescent="0.2">
      <c r="A87" s="376">
        <v>15850</v>
      </c>
      <c r="B87" s="376" t="s">
        <v>220</v>
      </c>
      <c r="C87" s="376" t="s">
        <v>293</v>
      </c>
      <c r="D87" s="404" t="s">
        <v>2</v>
      </c>
      <c r="E87" s="181"/>
      <c r="F87" s="217">
        <v>371</v>
      </c>
    </row>
    <row r="88" spans="1:6" x14ac:dyDescent="0.2">
      <c r="A88" s="376">
        <v>15900</v>
      </c>
      <c r="B88" s="376" t="s">
        <v>221</v>
      </c>
      <c r="C88" s="376" t="s">
        <v>163</v>
      </c>
      <c r="D88" s="404" t="s">
        <v>3</v>
      </c>
      <c r="E88" s="181"/>
      <c r="F88" s="217">
        <v>340.09</v>
      </c>
    </row>
    <row r="89" spans="1:6" x14ac:dyDescent="0.2">
      <c r="A89" s="376">
        <v>15950</v>
      </c>
      <c r="B89" s="376" t="s">
        <v>222</v>
      </c>
      <c r="C89" s="376" t="s">
        <v>190</v>
      </c>
      <c r="D89" s="404" t="s">
        <v>4</v>
      </c>
      <c r="E89" s="181"/>
      <c r="F89" s="217">
        <v>294</v>
      </c>
    </row>
    <row r="90" spans="1:6" x14ac:dyDescent="0.2">
      <c r="A90" s="376">
        <v>15990</v>
      </c>
      <c r="B90" s="376" t="s">
        <v>211</v>
      </c>
      <c r="C90" s="376"/>
      <c r="D90" s="404" t="s">
        <v>4</v>
      </c>
      <c r="E90" s="181"/>
      <c r="F90" s="217">
        <v>609.33000000000004</v>
      </c>
    </row>
    <row r="91" spans="1:6" x14ac:dyDescent="0.2">
      <c r="A91" s="376">
        <v>16100</v>
      </c>
      <c r="B91" s="376" t="s">
        <v>223</v>
      </c>
      <c r="C91" s="376" t="s">
        <v>293</v>
      </c>
      <c r="D91" s="404" t="s">
        <v>2</v>
      </c>
      <c r="E91" s="181"/>
      <c r="F91" s="217">
        <v>200</v>
      </c>
    </row>
    <row r="92" spans="1:6" x14ac:dyDescent="0.2">
      <c r="A92" s="376">
        <v>16150</v>
      </c>
      <c r="B92" s="376" t="s">
        <v>224</v>
      </c>
      <c r="C92" s="376" t="s">
        <v>293</v>
      </c>
      <c r="D92" s="404" t="s">
        <v>2</v>
      </c>
      <c r="E92" s="181"/>
      <c r="F92" s="217">
        <v>395.15</v>
      </c>
    </row>
    <row r="93" spans="1:6" x14ac:dyDescent="0.2">
      <c r="A93" s="376">
        <v>16200</v>
      </c>
      <c r="B93" s="376" t="s">
        <v>226</v>
      </c>
      <c r="C93" s="376" t="s">
        <v>293</v>
      </c>
      <c r="D93" s="404" t="s">
        <v>2</v>
      </c>
      <c r="E93" s="181"/>
      <c r="F93" s="217">
        <v>380</v>
      </c>
    </row>
    <row r="94" spans="1:6" x14ac:dyDescent="0.2">
      <c r="A94" s="376">
        <v>16260</v>
      </c>
      <c r="B94" s="376" t="s">
        <v>227</v>
      </c>
      <c r="C94" s="376" t="s">
        <v>129</v>
      </c>
      <c r="D94" s="404" t="s">
        <v>4</v>
      </c>
      <c r="E94" s="181"/>
      <c r="F94" s="217">
        <v>403.5</v>
      </c>
    </row>
    <row r="95" spans="1:6" x14ac:dyDescent="0.2">
      <c r="A95" s="376">
        <v>16350</v>
      </c>
      <c r="B95" s="376" t="s">
        <v>228</v>
      </c>
      <c r="C95" s="376" t="s">
        <v>129</v>
      </c>
      <c r="D95" s="404" t="s">
        <v>4</v>
      </c>
      <c r="E95" s="181"/>
      <c r="F95" s="217">
        <v>384</v>
      </c>
    </row>
    <row r="96" spans="1:6" x14ac:dyDescent="0.2">
      <c r="A96" s="376">
        <v>16380</v>
      </c>
      <c r="B96" s="376" t="s">
        <v>187</v>
      </c>
      <c r="C96" s="376" t="s">
        <v>294</v>
      </c>
      <c r="D96" s="404" t="s">
        <v>5</v>
      </c>
      <c r="E96" s="181"/>
      <c r="F96" s="217">
        <v>425</v>
      </c>
    </row>
    <row r="97" spans="1:6" x14ac:dyDescent="0.2">
      <c r="A97" s="376">
        <v>16400</v>
      </c>
      <c r="B97" s="376" t="s">
        <v>229</v>
      </c>
      <c r="C97" s="376" t="s">
        <v>163</v>
      </c>
      <c r="D97" s="404" t="s">
        <v>3</v>
      </c>
      <c r="E97" s="181"/>
      <c r="F97" s="217">
        <v>401</v>
      </c>
    </row>
    <row r="98" spans="1:6" x14ac:dyDescent="0.2">
      <c r="A98" s="376">
        <v>16490</v>
      </c>
      <c r="B98" s="376" t="s">
        <v>225</v>
      </c>
      <c r="C98" s="376" t="s">
        <v>704</v>
      </c>
      <c r="D98" s="404" t="s">
        <v>2</v>
      </c>
      <c r="E98" s="181"/>
      <c r="F98" s="217">
        <v>300</v>
      </c>
    </row>
    <row r="99" spans="1:6" x14ac:dyDescent="0.2">
      <c r="A99" s="376">
        <v>16550</v>
      </c>
      <c r="B99" s="376" t="s">
        <v>230</v>
      </c>
      <c r="C99" s="376" t="s">
        <v>127</v>
      </c>
      <c r="D99" s="404" t="s">
        <v>4</v>
      </c>
      <c r="E99" s="12"/>
      <c r="F99" s="217">
        <v>543</v>
      </c>
    </row>
    <row r="100" spans="1:6" x14ac:dyDescent="0.2">
      <c r="A100" s="376">
        <v>16610</v>
      </c>
      <c r="B100" s="376" t="s">
        <v>231</v>
      </c>
      <c r="C100" s="376" t="s">
        <v>131</v>
      </c>
      <c r="D100" s="404" t="s">
        <v>5</v>
      </c>
      <c r="E100" s="181"/>
      <c r="F100" s="217">
        <v>425</v>
      </c>
    </row>
    <row r="101" spans="1:6" x14ac:dyDescent="0.2">
      <c r="A101" s="376">
        <v>16700</v>
      </c>
      <c r="B101" s="376" t="s">
        <v>232</v>
      </c>
      <c r="C101" s="376" t="s">
        <v>190</v>
      </c>
      <c r="D101" s="404" t="s">
        <v>4</v>
      </c>
      <c r="E101" s="181"/>
      <c r="F101" s="217">
        <v>432</v>
      </c>
    </row>
    <row r="102" spans="1:6" x14ac:dyDescent="0.2">
      <c r="A102" s="376">
        <v>16900</v>
      </c>
      <c r="B102" s="376" t="s">
        <v>233</v>
      </c>
      <c r="C102" s="376" t="s">
        <v>291</v>
      </c>
      <c r="D102" s="404" t="s">
        <v>3</v>
      </c>
      <c r="E102" s="181"/>
      <c r="F102" s="217">
        <v>535</v>
      </c>
    </row>
    <row r="103" spans="1:6" x14ac:dyDescent="0.2">
      <c r="A103" s="376">
        <v>16950</v>
      </c>
      <c r="B103" s="376" t="s">
        <v>234</v>
      </c>
      <c r="C103" s="376" t="s">
        <v>291</v>
      </c>
      <c r="D103" s="404" t="s">
        <v>3</v>
      </c>
      <c r="E103" s="181"/>
      <c r="F103" s="217">
        <v>315</v>
      </c>
    </row>
    <row r="104" spans="1:6" x14ac:dyDescent="0.2">
      <c r="A104" s="376">
        <v>17000</v>
      </c>
      <c r="B104" s="376" t="s">
        <v>235</v>
      </c>
      <c r="C104" s="376" t="s">
        <v>163</v>
      </c>
      <c r="D104" s="404" t="s">
        <v>5</v>
      </c>
      <c r="E104" s="181"/>
      <c r="F104" s="217">
        <v>460</v>
      </c>
    </row>
    <row r="105" spans="1:6" x14ac:dyDescent="0.2">
      <c r="A105" s="376">
        <v>17040</v>
      </c>
      <c r="B105" s="376" t="s">
        <v>147</v>
      </c>
      <c r="C105" s="376" t="s">
        <v>704</v>
      </c>
      <c r="D105" s="404" t="s">
        <v>2</v>
      </c>
      <c r="E105" s="181"/>
      <c r="F105" s="217">
        <v>339</v>
      </c>
    </row>
    <row r="106" spans="1:6" x14ac:dyDescent="0.2">
      <c r="A106" s="376">
        <v>17080</v>
      </c>
      <c r="B106" s="376" t="s">
        <v>242</v>
      </c>
      <c r="C106" s="376" t="s">
        <v>142</v>
      </c>
      <c r="D106" s="404" t="s">
        <v>2</v>
      </c>
      <c r="E106" s="181"/>
      <c r="F106" s="217">
        <v>399</v>
      </c>
    </row>
    <row r="107" spans="1:6" x14ac:dyDescent="0.2">
      <c r="A107" s="376">
        <v>17100</v>
      </c>
      <c r="B107" s="376" t="s">
        <v>236</v>
      </c>
      <c r="C107" s="376"/>
      <c r="D107" s="404" t="s">
        <v>4</v>
      </c>
      <c r="E107" s="181"/>
      <c r="F107" s="217">
        <v>705</v>
      </c>
    </row>
    <row r="108" spans="1:6" x14ac:dyDescent="0.2">
      <c r="A108" s="376">
        <v>17150</v>
      </c>
      <c r="B108" s="376" t="s">
        <v>237</v>
      </c>
      <c r="C108" s="376" t="s">
        <v>127</v>
      </c>
      <c r="D108" s="404" t="s">
        <v>4</v>
      </c>
      <c r="E108" s="181"/>
      <c r="F108" s="217">
        <v>456.3</v>
      </c>
    </row>
    <row r="109" spans="1:6" x14ac:dyDescent="0.2">
      <c r="A109" s="376">
        <v>17200</v>
      </c>
      <c r="B109" s="376" t="s">
        <v>238</v>
      </c>
      <c r="C109" s="376" t="s">
        <v>127</v>
      </c>
      <c r="D109" s="404" t="s">
        <v>4</v>
      </c>
      <c r="E109" s="181"/>
      <c r="F109" s="217">
        <v>411</v>
      </c>
    </row>
    <row r="110" spans="1:6" x14ac:dyDescent="0.2">
      <c r="A110" s="376">
        <v>17310</v>
      </c>
      <c r="B110" s="376" t="s">
        <v>239</v>
      </c>
      <c r="C110" s="376" t="s">
        <v>125</v>
      </c>
      <c r="D110" s="404" t="s">
        <v>2</v>
      </c>
      <c r="E110" s="181"/>
      <c r="F110" s="217">
        <v>295</v>
      </c>
    </row>
    <row r="111" spans="1:6" x14ac:dyDescent="0.2">
      <c r="A111" s="376">
        <v>17350</v>
      </c>
      <c r="B111" s="376" t="s">
        <v>240</v>
      </c>
      <c r="C111" s="376" t="s">
        <v>142</v>
      </c>
      <c r="D111" s="404" t="s">
        <v>2</v>
      </c>
      <c r="E111" s="181"/>
      <c r="F111" s="217">
        <v>212</v>
      </c>
    </row>
    <row r="112" spans="1:6" x14ac:dyDescent="0.2">
      <c r="A112" s="376">
        <v>17400</v>
      </c>
      <c r="B112" s="376" t="s">
        <v>241</v>
      </c>
      <c r="C112" s="376" t="s">
        <v>125</v>
      </c>
      <c r="D112" s="404" t="s">
        <v>2</v>
      </c>
      <c r="E112" s="181"/>
      <c r="F112" s="217">
        <v>327</v>
      </c>
    </row>
    <row r="113" spans="1:6" x14ac:dyDescent="0.2">
      <c r="A113" s="376">
        <v>17420</v>
      </c>
      <c r="B113" s="376" t="s">
        <v>136</v>
      </c>
      <c r="C113" s="376" t="s">
        <v>129</v>
      </c>
      <c r="D113" s="404" t="s">
        <v>4</v>
      </c>
      <c r="E113" s="181"/>
      <c r="F113" s="217">
        <v>405</v>
      </c>
    </row>
    <row r="114" spans="1:6" x14ac:dyDescent="0.2">
      <c r="A114" s="376">
        <v>17550</v>
      </c>
      <c r="B114" s="376" t="s">
        <v>243</v>
      </c>
      <c r="C114" s="376" t="s">
        <v>131</v>
      </c>
      <c r="D114" s="404" t="s">
        <v>5</v>
      </c>
      <c r="E114" s="181"/>
      <c r="F114" s="217">
        <v>440.3</v>
      </c>
    </row>
    <row r="115" spans="1:6" x14ac:dyDescent="0.2">
      <c r="A115" s="376">
        <v>17620</v>
      </c>
      <c r="B115" s="376" t="s">
        <v>244</v>
      </c>
      <c r="C115" s="376" t="s">
        <v>163</v>
      </c>
      <c r="D115" s="404" t="s">
        <v>5</v>
      </c>
      <c r="E115" s="181"/>
      <c r="F115" s="217">
        <v>430.6</v>
      </c>
    </row>
    <row r="116" spans="1:6" x14ac:dyDescent="0.2">
      <c r="A116" s="376">
        <v>17640</v>
      </c>
      <c r="B116" s="376" t="s">
        <v>245</v>
      </c>
      <c r="C116" s="376" t="s">
        <v>704</v>
      </c>
      <c r="D116" s="404" t="s">
        <v>2</v>
      </c>
      <c r="E116" s="181"/>
      <c r="F116" s="217">
        <v>417</v>
      </c>
    </row>
    <row r="117" spans="1:6" x14ac:dyDescent="0.2">
      <c r="A117" s="376">
        <v>17650</v>
      </c>
      <c r="B117" s="376" t="s">
        <v>246</v>
      </c>
      <c r="C117" s="376" t="s">
        <v>125</v>
      </c>
      <c r="D117" s="404" t="s">
        <v>2</v>
      </c>
      <c r="E117" s="181"/>
      <c r="F117" s="217">
        <v>315</v>
      </c>
    </row>
    <row r="118" spans="1:6" x14ac:dyDescent="0.2">
      <c r="A118" s="376">
        <v>17750</v>
      </c>
      <c r="B118" s="376" t="s">
        <v>247</v>
      </c>
      <c r="C118" s="376" t="s">
        <v>142</v>
      </c>
      <c r="D118" s="404" t="s">
        <v>2</v>
      </c>
      <c r="E118" s="181"/>
      <c r="F118" s="217">
        <v>303</v>
      </c>
    </row>
    <row r="119" spans="1:6" x14ac:dyDescent="0.2">
      <c r="A119" s="376">
        <v>17850</v>
      </c>
      <c r="B119" s="376" t="s">
        <v>248</v>
      </c>
      <c r="C119" s="376" t="s">
        <v>125</v>
      </c>
      <c r="D119" s="404" t="s">
        <v>2</v>
      </c>
      <c r="E119" s="181"/>
      <c r="F119" s="217">
        <v>474</v>
      </c>
    </row>
    <row r="120" spans="1:6" x14ac:dyDescent="0.2">
      <c r="A120" s="376">
        <v>17900</v>
      </c>
      <c r="B120" s="376" t="s">
        <v>249</v>
      </c>
      <c r="C120" s="376" t="s">
        <v>293</v>
      </c>
      <c r="D120" s="404" t="s">
        <v>2</v>
      </c>
      <c r="E120" s="181"/>
      <c r="F120" s="217">
        <v>461</v>
      </c>
    </row>
    <row r="121" spans="1:6" x14ac:dyDescent="0.2">
      <c r="A121" s="376">
        <v>17950</v>
      </c>
      <c r="B121" s="376" t="s">
        <v>250</v>
      </c>
      <c r="C121" s="376" t="s">
        <v>293</v>
      </c>
      <c r="D121" s="404" t="s">
        <v>2</v>
      </c>
      <c r="E121" s="181"/>
      <c r="F121" s="217">
        <v>240</v>
      </c>
    </row>
    <row r="122" spans="1:6" x14ac:dyDescent="0.2">
      <c r="A122" s="376">
        <v>18020</v>
      </c>
      <c r="B122" s="376" t="s">
        <v>251</v>
      </c>
      <c r="C122" s="376" t="s">
        <v>293</v>
      </c>
      <c r="D122" s="404" t="s">
        <v>2</v>
      </c>
      <c r="E122" s="181"/>
      <c r="F122" s="217">
        <v>325</v>
      </c>
    </row>
    <row r="123" spans="1:6" x14ac:dyDescent="0.2">
      <c r="A123" s="376">
        <v>18050</v>
      </c>
      <c r="B123" s="376" t="s">
        <v>252</v>
      </c>
      <c r="C123" s="376" t="s">
        <v>127</v>
      </c>
      <c r="D123" s="404" t="s">
        <v>4</v>
      </c>
      <c r="E123" s="181"/>
      <c r="F123" s="217">
        <v>500</v>
      </c>
    </row>
    <row r="124" spans="1:6" x14ac:dyDescent="0.2">
      <c r="A124" s="376">
        <v>18100</v>
      </c>
      <c r="B124" s="376" t="s">
        <v>253</v>
      </c>
      <c r="C124" s="376" t="s">
        <v>293</v>
      </c>
      <c r="D124" s="404" t="s">
        <v>2</v>
      </c>
      <c r="E124" s="181"/>
      <c r="F124" s="217">
        <v>183</v>
      </c>
    </row>
    <row r="125" spans="1:6" x14ac:dyDescent="0.2">
      <c r="A125" s="376">
        <v>18200</v>
      </c>
      <c r="B125" s="376" t="s">
        <v>254</v>
      </c>
      <c r="C125" s="376" t="s">
        <v>703</v>
      </c>
      <c r="D125" s="404" t="s">
        <v>2</v>
      </c>
      <c r="E125" s="181"/>
      <c r="F125" s="217">
        <v>225</v>
      </c>
    </row>
    <row r="126" spans="1:6" x14ac:dyDescent="0.2">
      <c r="A126" s="376">
        <v>18230</v>
      </c>
      <c r="B126" s="376" t="s">
        <v>290</v>
      </c>
      <c r="C126" s="376" t="s">
        <v>293</v>
      </c>
      <c r="D126" s="404" t="s">
        <v>2</v>
      </c>
      <c r="E126" s="181"/>
      <c r="F126" s="217">
        <v>290.60000000000002</v>
      </c>
    </row>
    <row r="127" spans="1:6" x14ac:dyDescent="0.2">
      <c r="A127" s="376">
        <v>18250</v>
      </c>
      <c r="B127" s="376" t="s">
        <v>255</v>
      </c>
      <c r="C127" s="376" t="s">
        <v>190</v>
      </c>
      <c r="D127" s="404" t="s">
        <v>4</v>
      </c>
      <c r="E127" s="181"/>
      <c r="F127" s="217">
        <v>515</v>
      </c>
    </row>
    <row r="128" spans="1:6" x14ac:dyDescent="0.2">
      <c r="A128" s="376">
        <v>18350</v>
      </c>
      <c r="B128" s="376" t="s">
        <v>256</v>
      </c>
      <c r="C128" s="376" t="s">
        <v>291</v>
      </c>
      <c r="D128" s="404" t="s">
        <v>3</v>
      </c>
      <c r="E128" s="181"/>
      <c r="F128" s="217">
        <v>412</v>
      </c>
    </row>
    <row r="129" spans="1:6" x14ac:dyDescent="0.2">
      <c r="A129" s="376">
        <v>18400</v>
      </c>
      <c r="B129" s="376" t="s">
        <v>257</v>
      </c>
      <c r="C129" s="376" t="s">
        <v>156</v>
      </c>
      <c r="D129" s="404" t="s">
        <v>5</v>
      </c>
      <c r="E129" s="181"/>
      <c r="F129" s="217">
        <v>513</v>
      </c>
    </row>
    <row r="130" spans="1:6" x14ac:dyDescent="0.2">
      <c r="A130" s="376">
        <v>18450</v>
      </c>
      <c r="B130" s="376" t="s">
        <v>258</v>
      </c>
      <c r="C130" s="376" t="s">
        <v>291</v>
      </c>
      <c r="D130" s="404" t="s">
        <v>3</v>
      </c>
      <c r="E130" s="181"/>
      <c r="F130" s="217">
        <v>399</v>
      </c>
    </row>
    <row r="131" spans="1:6" x14ac:dyDescent="0.2">
      <c r="A131" s="376">
        <v>18500</v>
      </c>
      <c r="B131" s="376" t="s">
        <v>259</v>
      </c>
      <c r="C131" s="376" t="s">
        <v>127</v>
      </c>
      <c r="D131" s="404" t="s">
        <v>4</v>
      </c>
      <c r="E131" s="181"/>
      <c r="F131" s="217">
        <v>508.5</v>
      </c>
    </row>
    <row r="132" spans="1:6" x14ac:dyDescent="0.2">
      <c r="A132" s="376">
        <v>18710</v>
      </c>
      <c r="B132" s="376" t="s">
        <v>260</v>
      </c>
      <c r="C132" s="376" t="s">
        <v>704</v>
      </c>
      <c r="D132" s="404" t="s">
        <v>2</v>
      </c>
      <c r="E132" s="181"/>
      <c r="F132" s="217">
        <v>359</v>
      </c>
    </row>
  </sheetData>
  <hyperlinks>
    <hyperlink ref="D62" location="'2009-10'!A160" display="Bottom" xr:uid="{00000000-0004-0000-0A00-000000000000}"/>
  </hyperlinks>
  <printOptions horizontalCentered="1"/>
  <pageMargins left="0.25" right="0.25" top="0.75" bottom="0.75" header="0.3" footer="0.3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6"/>
  <sheetViews>
    <sheetView topLeftCell="A26" workbookViewId="0">
      <selection sqref="A1:L56"/>
    </sheetView>
  </sheetViews>
  <sheetFormatPr defaultRowHeight="11.25" x14ac:dyDescent="0.2"/>
  <cols>
    <col min="1" max="1" width="12.85546875" style="22" bestFit="1" customWidth="1"/>
    <col min="2" max="2" width="9" style="22" bestFit="1" customWidth="1"/>
    <col min="3" max="3" width="10.7109375" style="22" bestFit="1" customWidth="1"/>
    <col min="4" max="4" width="9" style="22" bestFit="1" customWidth="1"/>
    <col min="5" max="5" width="15" style="22" bestFit="1" customWidth="1"/>
    <col min="6" max="6" width="1.7109375" style="22" customWidth="1"/>
    <col min="7" max="7" width="20.42578125" style="22" bestFit="1" customWidth="1"/>
    <col min="8" max="10" width="9" style="22" bestFit="1" customWidth="1"/>
    <col min="11" max="11" width="7.7109375" style="22" bestFit="1" customWidth="1"/>
    <col min="12" max="12" width="10.85546875" style="22" bestFit="1" customWidth="1"/>
    <col min="13" max="16384" width="9.140625" style="22"/>
  </cols>
  <sheetData>
    <row r="1" spans="1:18" s="21" customFormat="1" ht="33.75" customHeight="1" x14ac:dyDescent="0.2">
      <c r="A1" s="594" t="s">
        <v>310</v>
      </c>
      <c r="B1" s="594"/>
      <c r="C1" s="594"/>
      <c r="D1" s="594"/>
      <c r="E1" s="594"/>
      <c r="F1" s="594"/>
      <c r="G1" s="594" t="s">
        <v>310</v>
      </c>
      <c r="H1" s="594"/>
      <c r="I1" s="594"/>
      <c r="J1" s="594"/>
      <c r="K1" s="594"/>
      <c r="L1" s="595"/>
    </row>
    <row r="2" spans="1:18" ht="5.25" customHeight="1" x14ac:dyDescent="0.2"/>
    <row r="3" spans="1:18" ht="12.75" x14ac:dyDescent="0.2">
      <c r="A3" s="596" t="s">
        <v>15</v>
      </c>
      <c r="B3" s="596"/>
      <c r="C3" s="596"/>
      <c r="D3" s="596"/>
      <c r="E3" s="596"/>
      <c r="F3" s="596"/>
      <c r="G3" s="596" t="s">
        <v>16</v>
      </c>
      <c r="H3" s="596"/>
      <c r="I3" s="596"/>
      <c r="J3" s="596"/>
      <c r="K3" s="596"/>
      <c r="L3" s="596"/>
    </row>
    <row r="4" spans="1:18" ht="12" x14ac:dyDescent="0.2">
      <c r="G4" s="23"/>
      <c r="H4" s="24" t="s">
        <v>17</v>
      </c>
      <c r="I4" s="24" t="s">
        <v>18</v>
      </c>
      <c r="J4" s="24" t="s">
        <v>19</v>
      </c>
      <c r="K4" s="24" t="s">
        <v>20</v>
      </c>
      <c r="L4" s="24" t="s">
        <v>121</v>
      </c>
    </row>
    <row r="5" spans="1:18" ht="12" x14ac:dyDescent="0.2">
      <c r="A5" s="25" t="s">
        <v>22</v>
      </c>
      <c r="B5" s="26" t="s">
        <v>23</v>
      </c>
      <c r="C5" s="26" t="s">
        <v>90</v>
      </c>
      <c r="D5" s="26" t="s">
        <v>25</v>
      </c>
      <c r="E5" s="27" t="s">
        <v>26</v>
      </c>
      <c r="G5" s="216" t="s">
        <v>27</v>
      </c>
      <c r="H5" s="28">
        <v>152</v>
      </c>
      <c r="I5" s="28">
        <v>38</v>
      </c>
      <c r="J5" s="28">
        <v>13</v>
      </c>
      <c r="K5" s="28">
        <v>21</v>
      </c>
      <c r="L5" s="28">
        <v>80</v>
      </c>
    </row>
    <row r="6" spans="1:18" ht="3" customHeight="1" x14ac:dyDescent="0.2">
      <c r="A6" s="29"/>
      <c r="B6" s="29"/>
      <c r="C6" s="29"/>
      <c r="D6" s="29"/>
      <c r="E6" s="29"/>
      <c r="G6" s="30" t="s">
        <v>27</v>
      </c>
      <c r="H6" s="30">
        <v>152</v>
      </c>
      <c r="I6" s="30">
        <v>38</v>
      </c>
      <c r="J6" s="30">
        <v>13</v>
      </c>
      <c r="K6" s="30">
        <v>21</v>
      </c>
      <c r="L6" s="30">
        <v>80</v>
      </c>
    </row>
    <row r="7" spans="1:18" ht="12" x14ac:dyDescent="0.2">
      <c r="A7" s="25" t="s">
        <v>28</v>
      </c>
      <c r="B7" s="26">
        <f>SUM(B8:B11)</f>
        <v>804189.08000000007</v>
      </c>
      <c r="C7" s="26">
        <f t="shared" ref="C7" si="0">SUM(C8:C11)</f>
        <v>738647.91999999993</v>
      </c>
      <c r="D7" s="26">
        <f>SUM(D8:D11)</f>
        <v>65541.16</v>
      </c>
      <c r="E7" s="27">
        <f>C7/B7</f>
        <v>0.9185003108970341</v>
      </c>
      <c r="G7" s="30" t="s">
        <v>29</v>
      </c>
      <c r="H7" s="257">
        <f>SUM(I7:L7)</f>
        <v>7725840</v>
      </c>
      <c r="I7" s="31">
        <f>'App 1-Services'!G456</f>
        <v>4474485</v>
      </c>
      <c r="J7" s="31">
        <f>'App 1-Services'!G457</f>
        <v>1430112</v>
      </c>
      <c r="K7" s="31">
        <f>'App 1-Services'!G458</f>
        <v>800741</v>
      </c>
      <c r="L7" s="31">
        <f>'App 1-Services'!G459</f>
        <v>1020502</v>
      </c>
      <c r="O7" s="408" t="s">
        <v>276</v>
      </c>
      <c r="P7" s="408" t="s">
        <v>275</v>
      </c>
      <c r="Q7" s="408" t="s">
        <v>33</v>
      </c>
      <c r="R7" s="408" t="s">
        <v>0</v>
      </c>
    </row>
    <row r="8" spans="1:18" ht="12" x14ac:dyDescent="0.2">
      <c r="A8" s="32" t="s">
        <v>18</v>
      </c>
      <c r="B8" s="33">
        <f>'App 3-Recycling Rate'!F137</f>
        <v>396880.12</v>
      </c>
      <c r="C8" s="33">
        <f>'App 3-Recycling Rate'!G137</f>
        <v>354434.13</v>
      </c>
      <c r="D8" s="33">
        <f>'App 3-Recycling Rate'!H137</f>
        <v>42445.990000000005</v>
      </c>
      <c r="E8" s="34">
        <f>C8/B8</f>
        <v>0.89305085374394666</v>
      </c>
      <c r="G8" s="30" t="s">
        <v>30</v>
      </c>
      <c r="H8" s="257">
        <f>SUM(I8:L8)</f>
        <v>2996611</v>
      </c>
      <c r="I8" s="31">
        <f>'App 1-Services'!H456</f>
        <v>1611156</v>
      </c>
      <c r="J8" s="31">
        <f>'App 1-Services'!H457</f>
        <v>572568</v>
      </c>
      <c r="K8" s="31">
        <f>'App 1-Services'!H458</f>
        <v>357435</v>
      </c>
      <c r="L8" s="31">
        <f>'App 1-Services'!H459</f>
        <v>455452</v>
      </c>
      <c r="O8" s="409">
        <f>B19</f>
        <v>2122311.42</v>
      </c>
      <c r="P8" s="409">
        <f>B7</f>
        <v>804189.08000000007</v>
      </c>
      <c r="Q8" s="409">
        <f>B13</f>
        <v>697702.01</v>
      </c>
      <c r="R8" s="409">
        <f>B25</f>
        <v>3624202.5100000002</v>
      </c>
    </row>
    <row r="9" spans="1:18" ht="12" x14ac:dyDescent="0.2">
      <c r="A9" s="32" t="s">
        <v>19</v>
      </c>
      <c r="B9" s="33">
        <f>'App 3-Recycling Rate'!F138</f>
        <v>171323.69</v>
      </c>
      <c r="C9" s="33">
        <f>'App 3-Recycling Rate'!G138</f>
        <v>162669.43</v>
      </c>
      <c r="D9" s="33">
        <f>'App 3-Recycling Rate'!H138</f>
        <v>8654.26</v>
      </c>
      <c r="E9" s="34">
        <f t="shared" ref="E9:E11" si="1">C9/B9</f>
        <v>0.9494859117265102</v>
      </c>
      <c r="G9" s="35"/>
      <c r="H9" s="36"/>
      <c r="I9" s="37"/>
      <c r="J9" s="37"/>
      <c r="K9" s="37"/>
      <c r="L9" s="37"/>
    </row>
    <row r="10" spans="1:18" ht="12.75" x14ac:dyDescent="0.2">
      <c r="A10" s="32" t="s">
        <v>20</v>
      </c>
      <c r="B10" s="33">
        <f>'App 3-Recycling Rate'!F139</f>
        <v>126267.17000000001</v>
      </c>
      <c r="C10" s="33">
        <f>'App 3-Recycling Rate'!G139</f>
        <v>120120.63999999998</v>
      </c>
      <c r="D10" s="33">
        <f>'App 3-Recycling Rate'!H139</f>
        <v>6146.5300000000007</v>
      </c>
      <c r="E10" s="34">
        <f t="shared" si="1"/>
        <v>0.95132123417353831</v>
      </c>
      <c r="G10" s="596" t="s">
        <v>31</v>
      </c>
      <c r="H10" s="596"/>
      <c r="I10" s="596"/>
      <c r="J10" s="596"/>
      <c r="K10" s="596"/>
      <c r="L10" s="596"/>
    </row>
    <row r="11" spans="1:18" ht="12" x14ac:dyDescent="0.2">
      <c r="A11" s="32" t="s">
        <v>121</v>
      </c>
      <c r="B11" s="33">
        <f>'App 3-Recycling Rate'!F140</f>
        <v>109718.09999999999</v>
      </c>
      <c r="C11" s="33">
        <f>'App 3-Recycling Rate'!G140</f>
        <v>101423.72000000003</v>
      </c>
      <c r="D11" s="33">
        <f>'App 3-Recycling Rate'!H140</f>
        <v>8294.3800000000028</v>
      </c>
      <c r="E11" s="34">
        <f t="shared" si="1"/>
        <v>0.92440281047520911</v>
      </c>
      <c r="G11" s="59" t="s">
        <v>83</v>
      </c>
      <c r="H11" s="50"/>
      <c r="I11" s="38"/>
      <c r="J11" s="38"/>
      <c r="K11" s="38"/>
      <c r="L11" s="38"/>
    </row>
    <row r="12" spans="1:18" ht="12" x14ac:dyDescent="0.2">
      <c r="A12" s="39"/>
      <c r="B12" s="40"/>
      <c r="C12" s="40"/>
      <c r="D12" s="40"/>
      <c r="E12" s="41"/>
      <c r="G12" s="42" t="s">
        <v>32</v>
      </c>
      <c r="H12" s="61">
        <f t="shared" ref="H12:H14" si="2">SUM(I12:L12)</f>
        <v>679059.34999999986</v>
      </c>
      <c r="I12" s="43">
        <f>'App 4-Recyclables'!F137</f>
        <v>368293.99999999994</v>
      </c>
      <c r="J12" s="43">
        <f>'App 4-Recyclables'!F138</f>
        <v>144971.00999999998</v>
      </c>
      <c r="K12" s="43">
        <f>'App 4-Recyclables'!F139</f>
        <v>89213.52</v>
      </c>
      <c r="L12" s="43">
        <f>'App 4-Recyclables'!F140</f>
        <v>76580.820000000007</v>
      </c>
    </row>
    <row r="13" spans="1:18" ht="12" x14ac:dyDescent="0.2">
      <c r="A13" s="25" t="s">
        <v>33</v>
      </c>
      <c r="B13" s="26">
        <f>SUM(B14:B17)</f>
        <v>697702.01</v>
      </c>
      <c r="C13" s="26">
        <f t="shared" ref="C13" si="3">SUM(C14:C17)</f>
        <v>671051.48</v>
      </c>
      <c r="D13" s="26">
        <f t="shared" ref="D13" si="4">SUM(D14:D17)</f>
        <v>26650.53</v>
      </c>
      <c r="E13" s="27">
        <f>C13/B13</f>
        <v>0.9618024176252552</v>
      </c>
      <c r="G13" s="42" t="s">
        <v>34</v>
      </c>
      <c r="H13" s="61">
        <f t="shared" si="2"/>
        <v>95076.190000000017</v>
      </c>
      <c r="I13" s="43">
        <f>'App 4-Recyclables'!J137</f>
        <v>1955.14</v>
      </c>
      <c r="J13" s="43">
        <f>'App 4-Recyclables'!J138</f>
        <v>25069.039999999997</v>
      </c>
      <c r="K13" s="43">
        <f>'App 4-Recyclables'!J139</f>
        <v>35790.200000000004</v>
      </c>
      <c r="L13" s="43">
        <f>'App 4-Recyclables'!J140</f>
        <v>32261.810000000009</v>
      </c>
    </row>
    <row r="14" spans="1:18" ht="12" x14ac:dyDescent="0.2">
      <c r="A14" s="32" t="s">
        <v>18</v>
      </c>
      <c r="B14" s="33">
        <f>'App 3-Recycling Rate'!I137</f>
        <v>308020.93999999994</v>
      </c>
      <c r="C14" s="33">
        <f>'App 3-Recycling Rate'!J137</f>
        <v>301088.71999999997</v>
      </c>
      <c r="D14" s="33">
        <f>'App 3-Recycling Rate'!K137</f>
        <v>6932.22</v>
      </c>
      <c r="E14" s="34">
        <f>C14/B14</f>
        <v>0.97749432230159428</v>
      </c>
      <c r="G14" s="42" t="s">
        <v>35</v>
      </c>
      <c r="H14" s="61">
        <f t="shared" si="2"/>
        <v>30053.540000000005</v>
      </c>
      <c r="I14" s="43">
        <f>'App 4-Recyclables'!N137</f>
        <v>26630.980000000003</v>
      </c>
      <c r="J14" s="43">
        <f>'App 4-Recyclables'!N138</f>
        <v>1283.6400000000001</v>
      </c>
      <c r="K14" s="43">
        <f>'App 4-Recyclables'!N139</f>
        <v>1263.45</v>
      </c>
      <c r="L14" s="43">
        <f>'App 4-Recyclables'!N140</f>
        <v>875.47</v>
      </c>
    </row>
    <row r="15" spans="1:18" ht="12" x14ac:dyDescent="0.2">
      <c r="A15" s="32" t="s">
        <v>19</v>
      </c>
      <c r="B15" s="33">
        <f>'App 3-Recycling Rate'!I138</f>
        <v>160361.87</v>
      </c>
      <c r="C15" s="33">
        <f>'App 3-Recycling Rate'!J138</f>
        <v>155321.43</v>
      </c>
      <c r="D15" s="33">
        <f>'App 3-Recycling Rate'!K138</f>
        <v>5040.4400000000005</v>
      </c>
      <c r="E15" s="34">
        <f t="shared" ref="E15:E17" si="5">C15/B15</f>
        <v>0.96856833859570235</v>
      </c>
      <c r="G15" s="25" t="s">
        <v>36</v>
      </c>
      <c r="H15" s="58">
        <f>SUM(I15:L15)</f>
        <v>804189.08</v>
      </c>
      <c r="I15" s="58">
        <f>SUM(I12:I14)</f>
        <v>396880.11999999994</v>
      </c>
      <c r="J15" s="58">
        <f t="shared" ref="J15:L15" si="6">SUM(J12:J14)</f>
        <v>171323.69</v>
      </c>
      <c r="K15" s="58">
        <f t="shared" si="6"/>
        <v>126267.17</v>
      </c>
      <c r="L15" s="58">
        <f t="shared" si="6"/>
        <v>109718.10000000002</v>
      </c>
    </row>
    <row r="16" spans="1:18" ht="12" x14ac:dyDescent="0.2">
      <c r="A16" s="32" t="s">
        <v>20</v>
      </c>
      <c r="B16" s="33">
        <f>'App 3-Recycling Rate'!I139</f>
        <v>125668.46000000004</v>
      </c>
      <c r="C16" s="33">
        <f>'App 3-Recycling Rate'!J139</f>
        <v>122982.06000000001</v>
      </c>
      <c r="D16" s="33">
        <f>'App 3-Recycling Rate'!K139</f>
        <v>2686.4</v>
      </c>
      <c r="E16" s="34">
        <f t="shared" si="5"/>
        <v>0.97862311673111912</v>
      </c>
      <c r="G16" s="28"/>
      <c r="H16" s="45"/>
      <c r="I16" s="45"/>
      <c r="J16" s="45"/>
      <c r="K16" s="45"/>
      <c r="L16" s="45"/>
    </row>
    <row r="17" spans="1:12" ht="12" x14ac:dyDescent="0.2">
      <c r="A17" s="32" t="s">
        <v>121</v>
      </c>
      <c r="B17" s="33">
        <f>'App 3-Recycling Rate'!I140</f>
        <v>103650.73999999999</v>
      </c>
      <c r="C17" s="33">
        <f>'App 3-Recycling Rate'!J140</f>
        <v>91659.26999999999</v>
      </c>
      <c r="D17" s="33">
        <f>'App 3-Recycling Rate'!K140</f>
        <v>11991.469999999998</v>
      </c>
      <c r="E17" s="34">
        <f t="shared" si="5"/>
        <v>0.88430888192404611</v>
      </c>
      <c r="G17" s="46" t="s">
        <v>37</v>
      </c>
      <c r="H17" s="47">
        <f>(H15*1000)/H7</f>
        <v>104.09082766404688</v>
      </c>
      <c r="I17" s="47">
        <f t="shared" ref="I17:L17" si="7">(I15*1000)/I7</f>
        <v>88.698502732716719</v>
      </c>
      <c r="J17" s="47">
        <f t="shared" si="7"/>
        <v>119.79739349085946</v>
      </c>
      <c r="K17" s="47">
        <f t="shared" si="7"/>
        <v>157.68790407884697</v>
      </c>
      <c r="L17" s="47">
        <f t="shared" si="7"/>
        <v>107.51385102625964</v>
      </c>
    </row>
    <row r="18" spans="1:12" ht="12" x14ac:dyDescent="0.2">
      <c r="A18" s="39"/>
      <c r="B18" s="40"/>
      <c r="C18" s="40"/>
      <c r="D18" s="40"/>
      <c r="E18" s="48"/>
      <c r="G18" s="46" t="s">
        <v>38</v>
      </c>
      <c r="H18" s="47">
        <f>H17/52</f>
        <v>2.0017466858470554</v>
      </c>
      <c r="I18" s="47">
        <f t="shared" ref="I18:L18" si="8">I17/52</f>
        <v>1.7057404371676292</v>
      </c>
      <c r="J18" s="47">
        <f t="shared" si="8"/>
        <v>2.3037960286703743</v>
      </c>
      <c r="K18" s="47">
        <f t="shared" si="8"/>
        <v>3.0324596938239803</v>
      </c>
      <c r="L18" s="47">
        <f t="shared" si="8"/>
        <v>2.0675740581973008</v>
      </c>
    </row>
    <row r="19" spans="1:12" ht="12" x14ac:dyDescent="0.2">
      <c r="A19" s="25" t="s">
        <v>39</v>
      </c>
      <c r="B19" s="26">
        <f>SUM(B20:B23)</f>
        <v>2122311.42</v>
      </c>
      <c r="C19" s="26">
        <f t="shared" ref="C19" si="9">SUM(C20:C23)</f>
        <v>305599.62</v>
      </c>
      <c r="D19" s="26">
        <f t="shared" ref="D19" si="10">SUM(D20:D23)</f>
        <v>1816712.0599999996</v>
      </c>
      <c r="E19" s="27">
        <f>C19/B19</f>
        <v>0.14399376883153181</v>
      </c>
      <c r="G19" s="49" t="s">
        <v>40</v>
      </c>
      <c r="H19" s="50">
        <f>(H15*1000)/H8</f>
        <v>268.36619100710772</v>
      </c>
      <c r="I19" s="50">
        <f t="shared" ref="I19:L19" si="11">(I15*1000)/I8</f>
        <v>246.33252149388386</v>
      </c>
      <c r="J19" s="50">
        <f t="shared" si="11"/>
        <v>299.21981319249414</v>
      </c>
      <c r="K19" s="50">
        <f t="shared" si="11"/>
        <v>353.25911004798076</v>
      </c>
      <c r="L19" s="50">
        <f t="shared" si="11"/>
        <v>240.89937029588194</v>
      </c>
    </row>
    <row r="20" spans="1:12" ht="12" x14ac:dyDescent="0.2">
      <c r="A20" s="32" t="s">
        <v>18</v>
      </c>
      <c r="B20" s="33">
        <f>'App 3-Recycling Rate'!L137</f>
        <v>1128458.1600000001</v>
      </c>
      <c r="C20" s="33">
        <f>'App 3-Recycling Rate'!M137</f>
        <v>253107.75</v>
      </c>
      <c r="D20" s="33">
        <f>'App 3-Recycling Rate'!N137</f>
        <v>875350.41</v>
      </c>
      <c r="E20" s="34">
        <f>C20/B20</f>
        <v>0.22429520116191101</v>
      </c>
      <c r="G20" s="49" t="s">
        <v>41</v>
      </c>
      <c r="H20" s="410">
        <f>H19/52</f>
        <v>5.1608882885982252</v>
      </c>
      <c r="I20" s="50">
        <f t="shared" ref="I20:L20" si="12">I19/52</f>
        <v>4.7371638748823823</v>
      </c>
      <c r="J20" s="50">
        <f t="shared" si="12"/>
        <v>5.7542271767787332</v>
      </c>
      <c r="K20" s="50">
        <f t="shared" si="12"/>
        <v>6.7934444239996301</v>
      </c>
      <c r="L20" s="50">
        <f t="shared" si="12"/>
        <v>4.6326801979977299</v>
      </c>
    </row>
    <row r="21" spans="1:12" ht="12" x14ac:dyDescent="0.2">
      <c r="A21" s="32" t="s">
        <v>19</v>
      </c>
      <c r="B21" s="33">
        <f>'App 3-Recycling Rate'!L138</f>
        <v>457466.46000000008</v>
      </c>
      <c r="C21" s="33">
        <f>'App 3-Recycling Rate'!M138</f>
        <v>30649.950000000004</v>
      </c>
      <c r="D21" s="33">
        <f>'App 3-Recycling Rate'!N138</f>
        <v>426816.50999999995</v>
      </c>
      <c r="E21" s="34">
        <f t="shared" ref="E21:E23" si="13">C21/B21</f>
        <v>6.6999338049832116E-2</v>
      </c>
      <c r="G21" s="38"/>
      <c r="H21" s="38"/>
      <c r="I21" s="38"/>
      <c r="J21" s="38"/>
      <c r="K21" s="38"/>
      <c r="L21" s="38"/>
    </row>
    <row r="22" spans="1:12" ht="12" x14ac:dyDescent="0.2">
      <c r="A22" s="32" t="s">
        <v>20</v>
      </c>
      <c r="B22" s="33">
        <f>'App 3-Recycling Rate'!L139</f>
        <v>233336.81999999998</v>
      </c>
      <c r="C22" s="33">
        <f>'App 3-Recycling Rate'!M139</f>
        <v>16630.939999999999</v>
      </c>
      <c r="D22" s="33">
        <f>'App 3-Recycling Rate'!N139</f>
        <v>216705.88</v>
      </c>
      <c r="E22" s="34">
        <f t="shared" si="13"/>
        <v>7.1274392099798051E-2</v>
      </c>
      <c r="G22" s="59" t="s">
        <v>84</v>
      </c>
      <c r="H22" s="50"/>
      <c r="I22" s="38"/>
      <c r="J22" s="38"/>
      <c r="K22" s="38"/>
      <c r="L22" s="38"/>
    </row>
    <row r="23" spans="1:12" ht="12" x14ac:dyDescent="0.2">
      <c r="A23" s="32" t="s">
        <v>121</v>
      </c>
      <c r="B23" s="33">
        <f>'App 3-Recycling Rate'!L140</f>
        <v>303049.97999999992</v>
      </c>
      <c r="C23" s="33">
        <f>'App 3-Recycling Rate'!M140</f>
        <v>5210.9799999999996</v>
      </c>
      <c r="D23" s="33">
        <f>'App 3-Recycling Rate'!N140</f>
        <v>297839.25999999989</v>
      </c>
      <c r="E23" s="34">
        <f t="shared" si="13"/>
        <v>1.719511745224336E-2</v>
      </c>
      <c r="G23" s="42" t="s">
        <v>32</v>
      </c>
      <c r="H23" s="61">
        <f t="shared" ref="H23:H26" si="14">SUM(I23:L23)</f>
        <v>564627.36999999988</v>
      </c>
      <c r="I23" s="43">
        <f>'App 5-Organics'!F137</f>
        <v>293923.73</v>
      </c>
      <c r="J23" s="43">
        <f>'App 5-Organics'!F138</f>
        <v>125463.14999999998</v>
      </c>
      <c r="K23" s="43">
        <f>'App 5-Organics'!F139</f>
        <v>90360.170000000013</v>
      </c>
      <c r="L23" s="43">
        <f>'App 5-Organics'!F140</f>
        <v>54880.319999999992</v>
      </c>
    </row>
    <row r="24" spans="1:12" ht="12" x14ac:dyDescent="0.2">
      <c r="A24" s="51"/>
      <c r="B24" s="52"/>
      <c r="C24" s="40"/>
      <c r="D24" s="40"/>
      <c r="E24" s="38"/>
      <c r="G24" s="42" t="s">
        <v>34</v>
      </c>
      <c r="H24" s="61">
        <f t="shared" si="14"/>
        <v>114609.79999999999</v>
      </c>
      <c r="I24" s="43">
        <f>'App 5-Organics'!J137</f>
        <v>7127</v>
      </c>
      <c r="J24" s="43">
        <f>'App 5-Organics'!J138</f>
        <v>25929.84</v>
      </c>
      <c r="K24" s="43">
        <f>'App 5-Organics'!J139</f>
        <v>33079.129999999997</v>
      </c>
      <c r="L24" s="43">
        <f>'App 5-Organics'!J140</f>
        <v>48473.829999999994</v>
      </c>
    </row>
    <row r="25" spans="1:12" ht="12" x14ac:dyDescent="0.2">
      <c r="A25" s="25" t="s">
        <v>42</v>
      </c>
      <c r="B25" s="26">
        <f>SUM(B26:B29)</f>
        <v>3624202.5100000002</v>
      </c>
      <c r="C25" s="26">
        <f>SUM(C26:C29)</f>
        <v>1715299.0199999998</v>
      </c>
      <c r="D25" s="26">
        <f>SUM(D26:D29)</f>
        <v>1908903.75</v>
      </c>
      <c r="E25" s="27">
        <f>C25/B25</f>
        <v>0.47329005905908927</v>
      </c>
      <c r="G25" s="42" t="s">
        <v>35</v>
      </c>
      <c r="H25" s="61">
        <f t="shared" si="14"/>
        <v>18464.84</v>
      </c>
      <c r="I25" s="43">
        <f>'App 5-Organics'!N137</f>
        <v>6970.2099999999991</v>
      </c>
      <c r="J25" s="43">
        <f>'App 5-Organics'!N138</f>
        <v>8968.8799999999992</v>
      </c>
      <c r="K25" s="43">
        <f>'App 5-Organics'!N139</f>
        <v>2229.1600000000003</v>
      </c>
      <c r="L25" s="43">
        <f>'App 5-Organics'!N140</f>
        <v>296.59000000000003</v>
      </c>
    </row>
    <row r="26" spans="1:12" ht="12" x14ac:dyDescent="0.2">
      <c r="A26" s="32" t="s">
        <v>18</v>
      </c>
      <c r="B26" s="26">
        <f>B8+B14+B20</f>
        <v>1833359.2200000002</v>
      </c>
      <c r="C26" s="26">
        <f>C8+C14+C20</f>
        <v>908630.6</v>
      </c>
      <c r="D26" s="26">
        <f t="shared" ref="D26" si="15">D8+D14+D20</f>
        <v>924728.62</v>
      </c>
      <c r="E26" s="34">
        <f>C26/B26</f>
        <v>0.49560969290022711</v>
      </c>
      <c r="G26" s="25" t="s">
        <v>43</v>
      </c>
      <c r="H26" s="58">
        <f t="shared" si="14"/>
        <v>697702.01</v>
      </c>
      <c r="I26" s="58">
        <f>SUM(I23:I25)</f>
        <v>308020.94</v>
      </c>
      <c r="J26" s="58">
        <f t="shared" ref="J26" si="16">SUM(J23:J25)</f>
        <v>160361.87</v>
      </c>
      <c r="K26" s="58">
        <f t="shared" ref="K26" si="17">SUM(K23:K25)</f>
        <v>125668.46000000002</v>
      </c>
      <c r="L26" s="58">
        <f t="shared" ref="L26" si="18">SUM(L23:L25)</f>
        <v>103650.73999999999</v>
      </c>
    </row>
    <row r="27" spans="1:12" ht="12" x14ac:dyDescent="0.2">
      <c r="A27" s="32" t="s">
        <v>19</v>
      </c>
      <c r="B27" s="26">
        <f t="shared" ref="B27:D29" si="19">B9+B15+B21</f>
        <v>789152.02</v>
      </c>
      <c r="C27" s="26">
        <f t="shared" si="19"/>
        <v>348640.81</v>
      </c>
      <c r="D27" s="26">
        <f t="shared" si="19"/>
        <v>440511.20999999996</v>
      </c>
      <c r="E27" s="34">
        <f t="shared" ref="E27:E29" si="20">C27/B27</f>
        <v>0.44179169686469277</v>
      </c>
      <c r="G27" s="28"/>
      <c r="H27" s="45"/>
      <c r="I27" s="45"/>
      <c r="J27" s="45"/>
      <c r="K27" s="45"/>
      <c r="L27" s="45"/>
    </row>
    <row r="28" spans="1:12" ht="12" x14ac:dyDescent="0.2">
      <c r="A28" s="32" t="s">
        <v>20</v>
      </c>
      <c r="B28" s="26">
        <f t="shared" si="19"/>
        <v>485272.45000000007</v>
      </c>
      <c r="C28" s="26">
        <f t="shared" si="19"/>
        <v>259733.64</v>
      </c>
      <c r="D28" s="26">
        <f t="shared" si="19"/>
        <v>225538.81</v>
      </c>
      <c r="E28" s="34">
        <f t="shared" si="20"/>
        <v>0.53523261005235301</v>
      </c>
      <c r="G28" s="46" t="s">
        <v>37</v>
      </c>
      <c r="H28" s="47">
        <f>(H26*1000)/H7</f>
        <v>90.307592443022372</v>
      </c>
      <c r="I28" s="47">
        <f t="shared" ref="I28:L28" si="21">(I26*1000)/I7</f>
        <v>68.839417273719775</v>
      </c>
      <c r="J28" s="47">
        <f t="shared" si="21"/>
        <v>112.13238543554631</v>
      </c>
      <c r="K28" s="47">
        <f t="shared" si="21"/>
        <v>156.94020913129216</v>
      </c>
      <c r="L28" s="47">
        <f t="shared" si="21"/>
        <v>101.56838497131803</v>
      </c>
    </row>
    <row r="29" spans="1:12" ht="12" x14ac:dyDescent="0.2">
      <c r="A29" s="32" t="s">
        <v>121</v>
      </c>
      <c r="B29" s="26">
        <f t="shared" si="19"/>
        <v>516418.81999999989</v>
      </c>
      <c r="C29" s="26">
        <f t="shared" si="19"/>
        <v>198293.97000000003</v>
      </c>
      <c r="D29" s="26">
        <f t="shared" si="19"/>
        <v>318125.10999999987</v>
      </c>
      <c r="E29" s="34">
        <f t="shared" si="20"/>
        <v>0.38397897659887775</v>
      </c>
      <c r="G29" s="46" t="s">
        <v>38</v>
      </c>
      <c r="H29" s="47">
        <f>H28/52</f>
        <v>1.7366844700581225</v>
      </c>
      <c r="I29" s="47">
        <f t="shared" ref="I29" si="22">I28/52</f>
        <v>1.3238349475715341</v>
      </c>
      <c r="J29" s="47">
        <f t="shared" ref="J29" si="23">J28/52</f>
        <v>2.1563920276066599</v>
      </c>
      <c r="K29" s="47">
        <f t="shared" ref="K29" si="24">K28/52</f>
        <v>3.0180809448325414</v>
      </c>
      <c r="L29" s="47">
        <f t="shared" ref="L29" si="25">L28/52</f>
        <v>1.9532381725253467</v>
      </c>
    </row>
    <row r="30" spans="1:12" ht="12" x14ac:dyDescent="0.2">
      <c r="G30" s="49" t="s">
        <v>40</v>
      </c>
      <c r="H30" s="50">
        <f>(H26*1000)/H8</f>
        <v>232.83035736036476</v>
      </c>
      <c r="I30" s="50">
        <f t="shared" ref="I30:L30" si="26">(I26*1000)/I8</f>
        <v>191.18008436178744</v>
      </c>
      <c r="J30" s="50">
        <f t="shared" si="26"/>
        <v>280.07480334213579</v>
      </c>
      <c r="K30" s="50">
        <f t="shared" si="26"/>
        <v>351.58409221257017</v>
      </c>
      <c r="L30" s="50">
        <f t="shared" si="26"/>
        <v>227.57774694149984</v>
      </c>
    </row>
    <row r="31" spans="1:12" ht="12" x14ac:dyDescent="0.2">
      <c r="A31" s="217"/>
      <c r="B31" s="412">
        <f>B7/B25</f>
        <v>0.22189407953365167</v>
      </c>
      <c r="C31" s="217"/>
      <c r="D31" s="217"/>
      <c r="E31" s="217"/>
      <c r="G31" s="49" t="s">
        <v>41</v>
      </c>
      <c r="H31" s="50">
        <f>H30/52</f>
        <v>4.4775068723147067</v>
      </c>
      <c r="I31" s="50">
        <f t="shared" ref="I31" si="27">I30/52</f>
        <v>3.6765400838805276</v>
      </c>
      <c r="J31" s="50">
        <f t="shared" ref="J31" si="28">J30/52</f>
        <v>5.3860539104256882</v>
      </c>
      <c r="K31" s="50">
        <f t="shared" ref="K31" si="29">K30/52</f>
        <v>6.7612325425494264</v>
      </c>
      <c r="L31" s="50">
        <f t="shared" ref="L31" si="30">L30/52</f>
        <v>4.3764951334903817</v>
      </c>
    </row>
    <row r="32" spans="1:12" ht="12" x14ac:dyDescent="0.2">
      <c r="A32" s="217"/>
      <c r="B32" s="412">
        <f>B13/B25</f>
        <v>0.19251187208079054</v>
      </c>
      <c r="C32" s="217"/>
      <c r="D32" s="217"/>
      <c r="E32" s="217"/>
      <c r="F32" s="55"/>
      <c r="G32" s="38"/>
      <c r="H32" s="38"/>
      <c r="I32" s="38"/>
      <c r="J32" s="38"/>
      <c r="K32" s="38"/>
      <c r="L32" s="38"/>
    </row>
    <row r="33" spans="1:12" ht="12" x14ac:dyDescent="0.2">
      <c r="A33" s="217"/>
      <c r="B33" s="412">
        <f>B19/B25</f>
        <v>0.58559404838555773</v>
      </c>
      <c r="C33" s="217"/>
      <c r="D33" s="217"/>
      <c r="E33" s="217"/>
      <c r="G33" s="60" t="s">
        <v>44</v>
      </c>
      <c r="H33" s="26">
        <f>SUM(I33:L33)</f>
        <v>1501891.09</v>
      </c>
      <c r="I33" s="26">
        <f>I15+I26</f>
        <v>704901.05999999994</v>
      </c>
      <c r="J33" s="26">
        <f t="shared" ref="J33:L33" si="31">J15+J26</f>
        <v>331685.56</v>
      </c>
      <c r="K33" s="26">
        <f t="shared" si="31"/>
        <v>251935.63</v>
      </c>
      <c r="L33" s="26">
        <f t="shared" si="31"/>
        <v>213368.84000000003</v>
      </c>
    </row>
    <row r="34" spans="1:12" ht="12" x14ac:dyDescent="0.2">
      <c r="E34" s="217"/>
      <c r="G34" s="38"/>
      <c r="H34" s="38"/>
      <c r="I34" s="38"/>
      <c r="J34" s="38"/>
      <c r="K34" s="38"/>
      <c r="L34" s="38"/>
    </row>
    <row r="35" spans="1:12" ht="12" x14ac:dyDescent="0.2">
      <c r="E35" s="44"/>
      <c r="G35" s="59" t="s">
        <v>82</v>
      </c>
      <c r="H35" s="38"/>
      <c r="I35" s="38"/>
      <c r="J35" s="38"/>
      <c r="K35" s="38"/>
      <c r="L35" s="38"/>
    </row>
    <row r="36" spans="1:12" ht="12" x14ac:dyDescent="0.2">
      <c r="E36" s="44"/>
      <c r="G36" s="42" t="s">
        <v>32</v>
      </c>
      <c r="H36" s="61">
        <f>SUM(I36:L36)</f>
        <v>1687162</v>
      </c>
      <c r="I36" s="43">
        <f>'App 6-Residual Waste'!F137</f>
        <v>985828.94000000006</v>
      </c>
      <c r="J36" s="43">
        <f>'App 6-Residual Waste'!F138</f>
        <v>344172.79999999999</v>
      </c>
      <c r="K36" s="43">
        <f>'App 6-Residual Waste'!F139</f>
        <v>145847.06</v>
      </c>
      <c r="L36" s="43">
        <f>'App 6-Residual Waste'!F140</f>
        <v>211313.19999999995</v>
      </c>
    </row>
    <row r="37" spans="1:12" ht="12" x14ac:dyDescent="0.2">
      <c r="E37" s="217"/>
      <c r="G37" s="42" t="s">
        <v>34</v>
      </c>
      <c r="H37" s="61">
        <f t="shared" ref="H37:H38" si="32">SUM(I37:L37)</f>
        <v>228898.63000000003</v>
      </c>
      <c r="I37" s="43">
        <f>'App 6-Residual Waste'!P137</f>
        <v>2024.5299999999997</v>
      </c>
      <c r="J37" s="43">
        <f>'App 6-Residual Waste'!P138</f>
        <v>65531.18</v>
      </c>
      <c r="K37" s="214">
        <f>'App 6-Residual Waste'!P139</f>
        <v>72488.37</v>
      </c>
      <c r="L37" s="43">
        <f>'App 6-Residual Waste'!P140</f>
        <v>88854.550000000017</v>
      </c>
    </row>
    <row r="38" spans="1:12" ht="12" x14ac:dyDescent="0.2">
      <c r="E38" s="217"/>
      <c r="G38" s="42" t="s">
        <v>35</v>
      </c>
      <c r="H38" s="61">
        <f t="shared" si="32"/>
        <v>206250.79000000004</v>
      </c>
      <c r="I38" s="56">
        <f>'App 6-Residual Waste'!W137</f>
        <v>140604.69000000003</v>
      </c>
      <c r="J38" s="56">
        <f>'App 6-Residual Waste'!W138</f>
        <v>47762.479999999989</v>
      </c>
      <c r="K38" s="56">
        <f>'App 6-Residual Waste'!W139</f>
        <v>15001.390000000001</v>
      </c>
      <c r="L38" s="56">
        <f>'App 6-Residual Waste'!W140</f>
        <v>2882.23</v>
      </c>
    </row>
    <row r="39" spans="1:12" ht="12" x14ac:dyDescent="0.2">
      <c r="E39" s="217"/>
      <c r="G39" s="25" t="s">
        <v>45</v>
      </c>
      <c r="H39" s="58">
        <f>SUM(I39:L39)</f>
        <v>2122311.42</v>
      </c>
      <c r="I39" s="58">
        <f>SUM(I36:I38)</f>
        <v>1128458.1600000001</v>
      </c>
      <c r="J39" s="58">
        <f t="shared" ref="J39:L39" si="33">SUM(J36:J38)</f>
        <v>457466.45999999996</v>
      </c>
      <c r="K39" s="58">
        <f t="shared" si="33"/>
        <v>233336.82</v>
      </c>
      <c r="L39" s="58">
        <f t="shared" si="33"/>
        <v>303049.98</v>
      </c>
    </row>
    <row r="40" spans="1:12" ht="12" x14ac:dyDescent="0.2">
      <c r="E40" s="217"/>
      <c r="G40" s="54"/>
      <c r="H40" s="54"/>
      <c r="I40" s="54"/>
      <c r="J40" s="54"/>
      <c r="K40" s="54"/>
      <c r="L40" s="54"/>
    </row>
    <row r="41" spans="1:12" ht="12" x14ac:dyDescent="0.2">
      <c r="G41" s="46" t="s">
        <v>37</v>
      </c>
      <c r="H41" s="47">
        <f>(H39*1000)/H$7</f>
        <v>274.70299928551458</v>
      </c>
      <c r="I41" s="47">
        <f t="shared" ref="I41:L41" si="34">(I39*1000)/I$7</f>
        <v>252.19844518419444</v>
      </c>
      <c r="J41" s="47">
        <f t="shared" si="34"/>
        <v>319.88156172383697</v>
      </c>
      <c r="K41" s="47">
        <f t="shared" si="34"/>
        <v>291.40111471749293</v>
      </c>
      <c r="L41" s="47">
        <f t="shared" si="34"/>
        <v>296.96167180466085</v>
      </c>
    </row>
    <row r="42" spans="1:12" ht="12" x14ac:dyDescent="0.2">
      <c r="G42" s="46" t="s">
        <v>38</v>
      </c>
      <c r="H42" s="47">
        <f>H41/52</f>
        <v>5.2827499862598959</v>
      </c>
      <c r="I42" s="47">
        <f t="shared" ref="I42" si="35">I41/52</f>
        <v>4.8499700996960469</v>
      </c>
      <c r="J42" s="47">
        <f t="shared" ref="J42" si="36">J41/52</f>
        <v>6.1515684946891724</v>
      </c>
      <c r="K42" s="47">
        <f t="shared" ref="K42" si="37">K41/52</f>
        <v>5.603867590721018</v>
      </c>
      <c r="L42" s="47">
        <f t="shared" ref="L42" si="38">L41/52</f>
        <v>5.7108013808588627</v>
      </c>
    </row>
    <row r="43" spans="1:12" ht="12" x14ac:dyDescent="0.2">
      <c r="G43" s="49" t="s">
        <v>40</v>
      </c>
      <c r="H43" s="50">
        <f>(H39*1000)/H$8</f>
        <v>708.23721197045597</v>
      </c>
      <c r="I43" s="50">
        <f t="shared" ref="I43:L43" si="39">(I39*1000)/I$8</f>
        <v>700.40279153601523</v>
      </c>
      <c r="J43" s="50">
        <f t="shared" si="39"/>
        <v>798.97315253384738</v>
      </c>
      <c r="K43" s="50">
        <f t="shared" si="39"/>
        <v>652.80909815770701</v>
      </c>
      <c r="L43" s="50">
        <f t="shared" si="39"/>
        <v>665.38291631170796</v>
      </c>
    </row>
    <row r="44" spans="1:12" ht="12" x14ac:dyDescent="0.2">
      <c r="G44" s="49" t="s">
        <v>41</v>
      </c>
      <c r="H44" s="50">
        <f>H43/52</f>
        <v>13.61994638404723</v>
      </c>
      <c r="I44" s="50">
        <f t="shared" ref="I44" si="40">I43/52</f>
        <v>13.469284452615678</v>
      </c>
      <c r="J44" s="50">
        <f t="shared" ref="J44" si="41">J43/52</f>
        <v>15.364868317958603</v>
      </c>
      <c r="K44" s="50">
        <f t="shared" ref="K44" si="42">K43/52</f>
        <v>12.554021118417442</v>
      </c>
      <c r="L44" s="50">
        <f t="shared" ref="L44" si="43">L43/52</f>
        <v>12.795825313686692</v>
      </c>
    </row>
    <row r="45" spans="1:12" ht="12" x14ac:dyDescent="0.2">
      <c r="E45" s="217"/>
      <c r="F45" s="54"/>
      <c r="G45" s="38"/>
      <c r="H45" s="38"/>
      <c r="I45" s="38"/>
      <c r="J45" s="38"/>
      <c r="K45" s="38"/>
      <c r="L45" s="38"/>
    </row>
    <row r="46" spans="1:12" ht="12" customHeight="1" x14ac:dyDescent="0.2">
      <c r="E46" s="217"/>
      <c r="G46" s="25" t="s">
        <v>42</v>
      </c>
      <c r="H46" s="38"/>
      <c r="I46" s="38"/>
      <c r="J46" s="38"/>
      <c r="K46" s="38"/>
      <c r="L46" s="38"/>
    </row>
    <row r="47" spans="1:12" ht="12" x14ac:dyDescent="0.2">
      <c r="E47" s="217"/>
      <c r="G47" s="42" t="s">
        <v>32</v>
      </c>
      <c r="H47" s="61">
        <f>H36+H23+H12</f>
        <v>2930848.7199999997</v>
      </c>
      <c r="I47" s="43">
        <f t="shared" ref="H47:L49" si="44">I36+I23+I12</f>
        <v>1648046.67</v>
      </c>
      <c r="J47" s="43">
        <f t="shared" si="44"/>
        <v>614606.96</v>
      </c>
      <c r="K47" s="43">
        <f t="shared" si="44"/>
        <v>325420.75</v>
      </c>
      <c r="L47" s="43">
        <f t="shared" si="44"/>
        <v>342774.33999999997</v>
      </c>
    </row>
    <row r="48" spans="1:12" ht="12" x14ac:dyDescent="0.2">
      <c r="E48" s="217"/>
      <c r="G48" s="42" t="s">
        <v>34</v>
      </c>
      <c r="H48" s="61">
        <f t="shared" si="44"/>
        <v>438584.62000000005</v>
      </c>
      <c r="I48" s="43">
        <f t="shared" si="44"/>
        <v>11106.669999999998</v>
      </c>
      <c r="J48" s="43">
        <f t="shared" si="44"/>
        <v>116530.06</v>
      </c>
      <c r="K48" s="43">
        <f t="shared" si="44"/>
        <v>141357.70000000001</v>
      </c>
      <c r="L48" s="43">
        <f t="shared" si="44"/>
        <v>169590.19</v>
      </c>
    </row>
    <row r="49" spans="3:12" ht="12" x14ac:dyDescent="0.2">
      <c r="G49" s="42" t="s">
        <v>35</v>
      </c>
      <c r="H49" s="61">
        <f t="shared" si="44"/>
        <v>254769.17000000004</v>
      </c>
      <c r="I49" s="43">
        <f t="shared" si="44"/>
        <v>174205.88000000003</v>
      </c>
      <c r="J49" s="43">
        <f t="shared" si="44"/>
        <v>58014.999999999985</v>
      </c>
      <c r="K49" s="43">
        <f t="shared" si="44"/>
        <v>18494.000000000004</v>
      </c>
      <c r="L49" s="43">
        <f t="shared" si="44"/>
        <v>4054.29</v>
      </c>
    </row>
    <row r="50" spans="3:12" ht="12" x14ac:dyDescent="0.2">
      <c r="E50" s="218"/>
      <c r="G50" s="25" t="s">
        <v>42</v>
      </c>
      <c r="H50" s="58">
        <f>SUM(I50:L50)</f>
        <v>3624202.5100000002</v>
      </c>
      <c r="I50" s="58">
        <f>I33+I39</f>
        <v>1833359.2200000002</v>
      </c>
      <c r="J50" s="58">
        <f>J33+J39</f>
        <v>789152.02</v>
      </c>
      <c r="K50" s="58">
        <f>K33+K39</f>
        <v>485272.45</v>
      </c>
      <c r="L50" s="58">
        <f>L33+L39</f>
        <v>516418.82</v>
      </c>
    </row>
    <row r="51" spans="3:12" ht="12.75" x14ac:dyDescent="0.2">
      <c r="C51" s="53"/>
      <c r="G51" s="57"/>
    </row>
    <row r="52" spans="3:12" ht="12" x14ac:dyDescent="0.2">
      <c r="C52" s="53"/>
      <c r="G52" s="46" t="s">
        <v>37</v>
      </c>
      <c r="H52" s="47">
        <f>(H50*1000)/H$7</f>
        <v>469.10141939258392</v>
      </c>
      <c r="I52" s="47">
        <f t="shared" ref="I52:L52" si="45">(I50*1000)/I$7</f>
        <v>409.73636519063092</v>
      </c>
      <c r="J52" s="47">
        <f t="shared" si="45"/>
        <v>551.81134065024276</v>
      </c>
      <c r="K52" s="47">
        <f t="shared" si="45"/>
        <v>606.02922792763206</v>
      </c>
      <c r="L52" s="47">
        <f t="shared" si="45"/>
        <v>506.04390780223849</v>
      </c>
    </row>
    <row r="53" spans="3:12" ht="12" x14ac:dyDescent="0.2">
      <c r="C53" s="260"/>
      <c r="G53" s="46" t="s">
        <v>38</v>
      </c>
      <c r="H53" s="47">
        <f>H52/52</f>
        <v>9.0211811421650747</v>
      </c>
      <c r="I53" s="47">
        <f t="shared" ref="I53:L53" si="46">I52/52</f>
        <v>7.8795454844352104</v>
      </c>
      <c r="J53" s="47">
        <f t="shared" si="46"/>
        <v>10.611756550966208</v>
      </c>
      <c r="K53" s="47">
        <f t="shared" si="46"/>
        <v>11.654408229377539</v>
      </c>
      <c r="L53" s="47">
        <f t="shared" si="46"/>
        <v>9.7316136115815102</v>
      </c>
    </row>
    <row r="54" spans="3:12" ht="12" x14ac:dyDescent="0.2">
      <c r="C54" s="260"/>
      <c r="G54" s="49" t="s">
        <v>40</v>
      </c>
      <c r="H54" s="50">
        <f>(H50*1000)/H$8</f>
        <v>1209.4337603379286</v>
      </c>
      <c r="I54" s="50">
        <f t="shared" ref="I54:L54" si="47">(I50*1000)/I$8</f>
        <v>1137.9153973916866</v>
      </c>
      <c r="J54" s="50">
        <f>(J50*1000)/J$8</f>
        <v>1378.2677690684775</v>
      </c>
      <c r="K54" s="50">
        <f t="shared" si="47"/>
        <v>1357.6523004182579</v>
      </c>
      <c r="L54" s="50">
        <f t="shared" si="47"/>
        <v>1133.8600335490896</v>
      </c>
    </row>
    <row r="55" spans="3:12" ht="12" x14ac:dyDescent="0.2">
      <c r="G55" s="49" t="s">
        <v>41</v>
      </c>
      <c r="H55" s="50">
        <f>H54/52</f>
        <v>23.258341544960164</v>
      </c>
      <c r="I55" s="50">
        <f t="shared" ref="I55:L55" si="48">I54/52</f>
        <v>21.882988411378587</v>
      </c>
      <c r="J55" s="50">
        <f t="shared" si="48"/>
        <v>26.505149405163028</v>
      </c>
      <c r="K55" s="50">
        <f t="shared" si="48"/>
        <v>26.108698084966498</v>
      </c>
      <c r="L55" s="50">
        <f t="shared" si="48"/>
        <v>21.8050006451748</v>
      </c>
    </row>
    <row r="56" spans="3:12" ht="12" x14ac:dyDescent="0.2">
      <c r="C56" s="260"/>
      <c r="H56" s="24" t="s">
        <v>17</v>
      </c>
      <c r="I56" s="24" t="s">
        <v>18</v>
      </c>
      <c r="J56" s="24" t="s">
        <v>19</v>
      </c>
      <c r="K56" s="24" t="s">
        <v>20</v>
      </c>
      <c r="L56" s="24" t="s">
        <v>121</v>
      </c>
    </row>
  </sheetData>
  <mergeCells count="5">
    <mergeCell ref="A1:F1"/>
    <mergeCell ref="G1:L1"/>
    <mergeCell ref="A3:F3"/>
    <mergeCell ref="G3:L3"/>
    <mergeCell ref="G10:L10"/>
  </mergeCells>
  <pageMargins left="0.25" right="0.25" top="0.75" bottom="0.75" header="0.3" footer="0.3"/>
  <pageSetup paperSize="9" scale="81" orientation="portrait" r:id="rId1"/>
  <headerFooter alignWithMargins="0"/>
  <ignoredErrors>
    <ignoredError sqref="H20:L20 I30:L30 I43:L43 I19:L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75"/>
  <sheetViews>
    <sheetView zoomScaleNormal="100" zoomScaleSheetLayoutView="100" workbookViewId="0">
      <pane xSplit="2" ySplit="5" topLeftCell="C147" activePane="bottomRight" state="frozen"/>
      <selection pane="topRight" activeCell="C1" sqref="C1"/>
      <selection pane="bottomLeft" activeCell="A6" sqref="A6"/>
      <selection pane="bottomRight" activeCell="C27" sqref="C27"/>
    </sheetView>
  </sheetViews>
  <sheetFormatPr defaultRowHeight="12.75" x14ac:dyDescent="0.2"/>
  <cols>
    <col min="1" max="1" width="5.28515625" style="78" bestFit="1" customWidth="1"/>
    <col min="2" max="2" width="26" style="78" bestFit="1" customWidth="1"/>
    <col min="3" max="3" width="13.5703125" style="78" bestFit="1" customWidth="1"/>
    <col min="4" max="4" width="3" style="94" bestFit="1" customWidth="1"/>
    <col min="5" max="5" width="0.85546875" style="95" customWidth="1"/>
    <col min="6" max="6" width="8.42578125" style="96" bestFit="1" customWidth="1"/>
    <col min="7" max="7" width="9.42578125" style="96" bestFit="1" customWidth="1"/>
    <col min="8" max="9" width="8.42578125" style="96" bestFit="1" customWidth="1"/>
    <col min="10" max="10" width="9.42578125" style="96" bestFit="1" customWidth="1"/>
    <col min="11" max="11" width="8.42578125" style="96" bestFit="1" customWidth="1"/>
    <col min="12" max="12" width="9.5703125" style="96" bestFit="1" customWidth="1"/>
    <col min="13" max="13" width="9.42578125" style="96" bestFit="1" customWidth="1"/>
    <col min="14" max="14" width="9" style="96" bestFit="1" customWidth="1"/>
    <col min="15" max="15" width="0.85546875" style="96" customWidth="1"/>
    <col min="16" max="17" width="9.85546875" style="78" customWidth="1"/>
    <col min="18" max="18" width="9" style="78" customWidth="1"/>
    <col min="19" max="19" width="8.7109375" style="78" customWidth="1"/>
    <col min="20" max="20" width="1.7109375" style="78" customWidth="1"/>
    <col min="21" max="21" width="9.140625" style="22" bestFit="1" customWidth="1"/>
    <col min="22" max="22" width="9.140625" style="22"/>
    <col min="23" max="16384" width="9.140625" style="78"/>
  </cols>
  <sheetData>
    <row r="1" spans="1:22" s="62" customFormat="1" ht="15.75" x14ac:dyDescent="0.25">
      <c r="A1" s="601" t="s">
        <v>296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2"/>
      <c r="U1" s="21"/>
      <c r="V1" s="21"/>
    </row>
    <row r="2" spans="1:22" s="68" customFormat="1" ht="15.75" x14ac:dyDescent="0.25">
      <c r="A2" s="63"/>
      <c r="B2" s="64"/>
      <c r="C2" s="64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  <c r="P2" s="67"/>
      <c r="Q2" s="67"/>
      <c r="R2" s="67"/>
      <c r="S2" s="67"/>
      <c r="U2" s="405"/>
      <c r="V2" s="405"/>
    </row>
    <row r="3" spans="1:22" s="73" customFormat="1" ht="15.75" customHeight="1" x14ac:dyDescent="0.25">
      <c r="A3" s="69"/>
      <c r="B3" s="70"/>
      <c r="C3" s="64"/>
      <c r="D3" s="64"/>
      <c r="E3" s="72"/>
      <c r="F3" s="603" t="s">
        <v>71</v>
      </c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  <c r="R3" s="604"/>
      <c r="S3" s="605"/>
      <c r="U3" s="97"/>
      <c r="V3" s="97"/>
    </row>
    <row r="4" spans="1:22" s="73" customFormat="1" ht="15.75" customHeight="1" x14ac:dyDescent="0.25">
      <c r="A4" s="69"/>
      <c r="B4" s="70"/>
      <c r="C4" s="64"/>
      <c r="D4" s="64"/>
      <c r="E4" s="74"/>
      <c r="F4" s="606" t="s">
        <v>28</v>
      </c>
      <c r="G4" s="606"/>
      <c r="H4" s="606"/>
      <c r="I4" s="606" t="s">
        <v>33</v>
      </c>
      <c r="J4" s="606"/>
      <c r="K4" s="606"/>
      <c r="L4" s="606" t="s">
        <v>39</v>
      </c>
      <c r="M4" s="606"/>
      <c r="N4" s="606"/>
      <c r="O4" s="75"/>
      <c r="P4" s="607" t="s">
        <v>46</v>
      </c>
      <c r="Q4" s="609" t="s">
        <v>272</v>
      </c>
      <c r="R4" s="610" t="s">
        <v>47</v>
      </c>
      <c r="S4" s="611" t="s">
        <v>26</v>
      </c>
      <c r="U4" s="97"/>
      <c r="V4" s="97"/>
    </row>
    <row r="5" spans="1:22" ht="74.25" x14ac:dyDescent="0.25">
      <c r="A5" s="364" t="s">
        <v>285</v>
      </c>
      <c r="B5" s="445" t="s">
        <v>286</v>
      </c>
      <c r="C5" s="444" t="s">
        <v>108</v>
      </c>
      <c r="D5" s="446" t="s">
        <v>11</v>
      </c>
      <c r="E5" s="76"/>
      <c r="F5" s="447" t="s">
        <v>287</v>
      </c>
      <c r="G5" s="447" t="s">
        <v>288</v>
      </c>
      <c r="H5" s="447" t="s">
        <v>289</v>
      </c>
      <c r="I5" s="447" t="s">
        <v>287</v>
      </c>
      <c r="J5" s="447" t="s">
        <v>288</v>
      </c>
      <c r="K5" s="447" t="s">
        <v>289</v>
      </c>
      <c r="L5" s="447" t="s">
        <v>287</v>
      </c>
      <c r="M5" s="447" t="s">
        <v>288</v>
      </c>
      <c r="N5" s="447" t="s">
        <v>289</v>
      </c>
      <c r="O5" s="75"/>
      <c r="P5" s="608"/>
      <c r="Q5" s="609"/>
      <c r="R5" s="610"/>
      <c r="S5" s="612"/>
      <c r="U5" s="363" t="s">
        <v>273</v>
      </c>
      <c r="V5" s="363" t="s">
        <v>274</v>
      </c>
    </row>
    <row r="6" spans="1:22" ht="15.75" x14ac:dyDescent="0.25">
      <c r="A6" s="377">
        <v>10050</v>
      </c>
      <c r="B6" s="377" t="s">
        <v>124</v>
      </c>
      <c r="C6" s="377" t="s">
        <v>703</v>
      </c>
      <c r="D6" s="404" t="s">
        <v>2</v>
      </c>
      <c r="E6" s="79"/>
      <c r="F6" s="80">
        <f>'App 4-Recyclables'!F5+'App 4-Recyclables'!J5+'App 4-Recyclables'!N5</f>
        <v>7003.13</v>
      </c>
      <c r="G6" s="80">
        <f>'App 4-Recyclables'!G5+'App 4-Recyclables'!K5+'App 4-Recyclables'!O5</f>
        <v>6773.71</v>
      </c>
      <c r="H6" s="80">
        <f>'App 4-Recyclables'!H5+'App 4-Recyclables'!L5+'App 4-Recyclables'!P5</f>
        <v>229.42</v>
      </c>
      <c r="I6" s="80">
        <f>'App 5-Organics'!F5+'App 5-Organics'!J5+'App 5-Organics'!N5</f>
        <v>12945.77</v>
      </c>
      <c r="J6" s="80">
        <f>'App 5-Organics'!G5+'App 5-Organics'!K5+'App 5-Organics'!O5</f>
        <v>12733.99</v>
      </c>
      <c r="K6" s="80">
        <f>'App 5-Organics'!H5+'App 5-Organics'!L5+'App 5-Organics'!P5</f>
        <v>211.78</v>
      </c>
      <c r="L6" s="212">
        <f>'App 6-Residual Waste'!F5+'App 6-Residual Waste'!P5+'App 6-Residual Waste'!W5</f>
        <v>12717.71</v>
      </c>
      <c r="M6" s="212">
        <f>'App 6-Residual Waste'!G5+'App 6-Residual Waste'!Q5+'App 6-Residual Waste'!X5</f>
        <v>578.12</v>
      </c>
      <c r="N6" s="212">
        <f>'App 6-Residual Waste'!H5+'App 6-Residual Waste'!R5+'App 6-Residual Waste'!Y5</f>
        <v>12139.59</v>
      </c>
      <c r="O6" s="211"/>
      <c r="P6" s="212">
        <f t="shared" ref="P6:P37" si="0">F6+I6+L6</f>
        <v>32666.61</v>
      </c>
      <c r="Q6" s="212">
        <f t="shared" ref="Q6:Q37" si="1">G6+J6+M6</f>
        <v>20085.82</v>
      </c>
      <c r="R6" s="212">
        <f t="shared" ref="R6:R37" si="2">H6+K6+N6</f>
        <v>12580.79</v>
      </c>
      <c r="S6" s="213">
        <f t="shared" ref="S6:S37" si="3">Q6/P6</f>
        <v>0.61487310743294143</v>
      </c>
      <c r="U6" s="406">
        <f>(P6*1000)/'App 1-Services'!G5/52</f>
        <v>11.986110519958375</v>
      </c>
      <c r="V6" s="406">
        <f>(P6*1000)/'App 1-Services'!H5/52</f>
        <v>28.978874363942172</v>
      </c>
    </row>
    <row r="7" spans="1:22" ht="15.75" x14ac:dyDescent="0.25">
      <c r="A7" s="376">
        <v>10130</v>
      </c>
      <c r="B7" s="376" t="s">
        <v>126</v>
      </c>
      <c r="C7" s="376" t="s">
        <v>125</v>
      </c>
      <c r="D7" s="404" t="s">
        <v>2</v>
      </c>
      <c r="E7" s="79"/>
      <c r="F7" s="80">
        <f>'App 4-Recyclables'!F6+'App 4-Recyclables'!J6+'App 4-Recyclables'!N6</f>
        <v>2439.5700000000002</v>
      </c>
      <c r="G7" s="80">
        <f>'App 4-Recyclables'!G6+'App 4-Recyclables'!K6+'App 4-Recyclables'!O6</f>
        <v>2372.5</v>
      </c>
      <c r="H7" s="80">
        <f>'App 4-Recyclables'!H6+'App 4-Recyclables'!L6+'App 4-Recyclables'!P6</f>
        <v>67.069999999999993</v>
      </c>
      <c r="I7" s="80">
        <f>'App 5-Organics'!F6+'App 5-Organics'!J6+'App 5-Organics'!N6</f>
        <v>2302.7600000000002</v>
      </c>
      <c r="J7" s="80">
        <f>'App 5-Organics'!G6+'App 5-Organics'!K6+'App 5-Organics'!O6</f>
        <v>2300.19</v>
      </c>
      <c r="K7" s="80">
        <f>'App 5-Organics'!H6+'App 5-Organics'!L6+'App 5-Organics'!P6</f>
        <v>2.57</v>
      </c>
      <c r="L7" s="212">
        <f>'App 6-Residual Waste'!F6+'App 6-Residual Waste'!P6+'App 6-Residual Waste'!W6</f>
        <v>5728</v>
      </c>
      <c r="M7" s="212">
        <f>'App 6-Residual Waste'!G6+'App 6-Residual Waste'!Q6+'App 6-Residual Waste'!X6</f>
        <v>279.97000000000003</v>
      </c>
      <c r="N7" s="212">
        <f>'App 6-Residual Waste'!H6+'App 6-Residual Waste'!R6+'App 6-Residual Waste'!Y6</f>
        <v>5448.03</v>
      </c>
      <c r="O7" s="211"/>
      <c r="P7" s="212">
        <f t="shared" si="0"/>
        <v>10470.33</v>
      </c>
      <c r="Q7" s="212">
        <f t="shared" si="1"/>
        <v>4952.6600000000008</v>
      </c>
      <c r="R7" s="212">
        <f t="shared" si="2"/>
        <v>5517.67</v>
      </c>
      <c r="S7" s="213">
        <f t="shared" si="3"/>
        <v>0.47301851995113819</v>
      </c>
      <c r="U7" s="406">
        <f>(P7*1000)/'App 1-Services'!G6/52</f>
        <v>6.7016974538192704</v>
      </c>
      <c r="V7" s="406">
        <f>(P7*1000)/'App 1-Services'!H6/52</f>
        <v>16.643453463382379</v>
      </c>
    </row>
    <row r="8" spans="1:22" ht="15.75" x14ac:dyDescent="0.25">
      <c r="A8" s="376">
        <v>10250</v>
      </c>
      <c r="B8" s="376" t="s">
        <v>132</v>
      </c>
      <c r="C8" s="376" t="s">
        <v>131</v>
      </c>
      <c r="D8" s="404" t="s">
        <v>5</v>
      </c>
      <c r="E8" s="79"/>
      <c r="F8" s="80">
        <f>'App 4-Recyclables'!F7+'App 4-Recyclables'!J7+'App 4-Recyclables'!N7</f>
        <v>5969.56</v>
      </c>
      <c r="G8" s="80">
        <f>'App 4-Recyclables'!G7+'App 4-Recyclables'!K7+'App 4-Recyclables'!O7</f>
        <v>5864.46</v>
      </c>
      <c r="H8" s="80">
        <f>'App 4-Recyclables'!H7+'App 4-Recyclables'!L7+'App 4-Recyclables'!P7</f>
        <v>105.1</v>
      </c>
      <c r="I8" s="80">
        <f>'App 5-Organics'!F7+'App 5-Organics'!J7+'App 5-Organics'!N7</f>
        <v>7442.27</v>
      </c>
      <c r="J8" s="80">
        <f>'App 5-Organics'!G7+'App 5-Organics'!K7+'App 5-Organics'!O7</f>
        <v>7442.27</v>
      </c>
      <c r="K8" s="80">
        <f>'App 5-Organics'!H7+'App 5-Organics'!L7+'App 5-Organics'!P7</f>
        <v>0</v>
      </c>
      <c r="L8" s="212">
        <f>'App 6-Residual Waste'!F7+'App 6-Residual Waste'!P7+'App 6-Residual Waste'!W7</f>
        <v>8270.58</v>
      </c>
      <c r="M8" s="212">
        <f>'App 6-Residual Waste'!G7+'App 6-Residual Waste'!Q7+'App 6-Residual Waste'!X7</f>
        <v>43</v>
      </c>
      <c r="N8" s="212">
        <f>'App 6-Residual Waste'!H7+'App 6-Residual Waste'!R7+'App 6-Residual Waste'!Y7</f>
        <v>8227.58</v>
      </c>
      <c r="O8" s="211"/>
      <c r="P8" s="212">
        <f t="shared" si="0"/>
        <v>21682.410000000003</v>
      </c>
      <c r="Q8" s="212">
        <f t="shared" si="1"/>
        <v>13349.73</v>
      </c>
      <c r="R8" s="212">
        <f t="shared" si="2"/>
        <v>8332.68</v>
      </c>
      <c r="S8" s="213">
        <f t="shared" si="3"/>
        <v>0.61569401187414119</v>
      </c>
      <c r="U8" s="406">
        <f>(P8*1000)/'App 1-Services'!G7/52</f>
        <v>9.7981347654131774</v>
      </c>
      <c r="V8" s="406">
        <f>(P8*1000)/'App 1-Services'!H7/52</f>
        <v>23.499178487202609</v>
      </c>
    </row>
    <row r="9" spans="1:22" ht="15.75" x14ac:dyDescent="0.25">
      <c r="A9" s="376">
        <v>10300</v>
      </c>
      <c r="B9" s="376" t="s">
        <v>133</v>
      </c>
      <c r="C9" s="376" t="s">
        <v>703</v>
      </c>
      <c r="D9" s="404" t="s">
        <v>2</v>
      </c>
      <c r="E9" s="79"/>
      <c r="F9" s="80">
        <f>'App 4-Recyclables'!F8+'App 4-Recyclables'!J8+'App 4-Recyclables'!N8</f>
        <v>0</v>
      </c>
      <c r="G9" s="80">
        <f>'App 4-Recyclables'!G8+'App 4-Recyclables'!K8+'App 4-Recyclables'!O8</f>
        <v>0</v>
      </c>
      <c r="H9" s="80">
        <f>'App 4-Recyclables'!H8+'App 4-Recyclables'!L8+'App 4-Recyclables'!P8</f>
        <v>0</v>
      </c>
      <c r="I9" s="80">
        <f>'App 5-Organics'!F8+'App 5-Organics'!J8+'App 5-Organics'!N8</f>
        <v>0</v>
      </c>
      <c r="J9" s="80">
        <f>'App 5-Organics'!G8+'App 5-Organics'!K8+'App 5-Organics'!O8</f>
        <v>0</v>
      </c>
      <c r="K9" s="80">
        <f>'App 5-Organics'!H8+'App 5-Organics'!L8+'App 5-Organics'!P8</f>
        <v>0</v>
      </c>
      <c r="L9" s="212">
        <f>'App 6-Residual Waste'!F8+'App 6-Residual Waste'!P8+'App 6-Residual Waste'!W8</f>
        <v>556</v>
      </c>
      <c r="M9" s="212">
        <f>'App 6-Residual Waste'!G8+'App 6-Residual Waste'!Q8+'App 6-Residual Waste'!X8</f>
        <v>0</v>
      </c>
      <c r="N9" s="212">
        <f>'App 6-Residual Waste'!H8+'App 6-Residual Waste'!R8+'App 6-Residual Waste'!Y8</f>
        <v>556</v>
      </c>
      <c r="O9" s="211"/>
      <c r="P9" s="212">
        <f t="shared" si="0"/>
        <v>556</v>
      </c>
      <c r="Q9" s="212">
        <f t="shared" si="1"/>
        <v>0</v>
      </c>
      <c r="R9" s="212">
        <f t="shared" si="2"/>
        <v>556</v>
      </c>
      <c r="S9" s="213">
        <f t="shared" si="3"/>
        <v>0</v>
      </c>
      <c r="U9" s="406">
        <f>(P9*1000)/'App 1-Services'!G8/52</f>
        <v>4.483147879374294</v>
      </c>
      <c r="V9" s="406">
        <f>(P9*1000)/'App 1-Services'!H8/52</f>
        <v>6.3872805808289677</v>
      </c>
    </row>
    <row r="10" spans="1:22" ht="15.75" x14ac:dyDescent="0.25">
      <c r="A10" s="376">
        <v>10470</v>
      </c>
      <c r="B10" s="376" t="s">
        <v>135</v>
      </c>
      <c r="C10" s="376" t="s">
        <v>293</v>
      </c>
      <c r="D10" s="404" t="s">
        <v>2</v>
      </c>
      <c r="E10" s="79"/>
      <c r="F10" s="80">
        <f>'App 4-Recyclables'!F9+'App 4-Recyclables'!J9+'App 4-Recyclables'!N9</f>
        <v>4444.4699999999993</v>
      </c>
      <c r="G10" s="80">
        <f>'App 4-Recyclables'!G9+'App 4-Recyclables'!K9+'App 4-Recyclables'!O9</f>
        <v>4229.4699999999993</v>
      </c>
      <c r="H10" s="80">
        <f>'App 4-Recyclables'!H9+'App 4-Recyclables'!L9+'App 4-Recyclables'!P9</f>
        <v>215</v>
      </c>
      <c r="I10" s="80">
        <f>'App 5-Organics'!F9+'App 5-Organics'!J9+'App 5-Organics'!N9</f>
        <v>6356.72</v>
      </c>
      <c r="J10" s="80">
        <f>'App 5-Organics'!G9+'App 5-Organics'!K9+'App 5-Organics'!O9</f>
        <v>6352.72</v>
      </c>
      <c r="K10" s="80">
        <f>'App 5-Organics'!H9+'App 5-Organics'!L9+'App 5-Organics'!P9</f>
        <v>4</v>
      </c>
      <c r="L10" s="212">
        <f>'App 6-Residual Waste'!F9+'App 6-Residual Waste'!P9+'App 6-Residual Waste'!W9</f>
        <v>10718.28</v>
      </c>
      <c r="M10" s="212">
        <f>'App 6-Residual Waste'!G9+'App 6-Residual Waste'!Q9+'App 6-Residual Waste'!X9</f>
        <v>35.200000000000003</v>
      </c>
      <c r="N10" s="212">
        <f>'App 6-Residual Waste'!H9+'App 6-Residual Waste'!R9+'App 6-Residual Waste'!Y9</f>
        <v>10683.08</v>
      </c>
      <c r="O10" s="211"/>
      <c r="P10" s="212">
        <f t="shared" si="0"/>
        <v>21519.47</v>
      </c>
      <c r="Q10" s="212">
        <f t="shared" si="1"/>
        <v>10617.39</v>
      </c>
      <c r="R10" s="212">
        <f t="shared" si="2"/>
        <v>10902.08</v>
      </c>
      <c r="S10" s="213">
        <f t="shared" si="3"/>
        <v>0.49338529248164564</v>
      </c>
      <c r="U10" s="406">
        <f>(P10*1000)/'App 1-Services'!G9/52</f>
        <v>9.6062200914220419</v>
      </c>
      <c r="V10" s="406">
        <f>(P10*1000)/'App 1-Services'!H9/52</f>
        <v>22.581903390726918</v>
      </c>
    </row>
    <row r="11" spans="1:22" ht="15.75" x14ac:dyDescent="0.25">
      <c r="A11" s="376">
        <v>10500</v>
      </c>
      <c r="B11" s="376" t="s">
        <v>149</v>
      </c>
      <c r="C11" s="376" t="s">
        <v>127</v>
      </c>
      <c r="D11" s="404" t="s">
        <v>4</v>
      </c>
      <c r="E11" s="79"/>
      <c r="F11" s="80">
        <f>'App 4-Recyclables'!F10+'App 4-Recyclables'!J10+'App 4-Recyclables'!N10</f>
        <v>12036.61</v>
      </c>
      <c r="G11" s="80">
        <f>'App 4-Recyclables'!G10+'App 4-Recyclables'!K10+'App 4-Recyclables'!O10</f>
        <v>9512.61</v>
      </c>
      <c r="H11" s="80">
        <f>'App 4-Recyclables'!H10+'App 4-Recyclables'!L10+'App 4-Recyclables'!P10</f>
        <v>2524</v>
      </c>
      <c r="I11" s="80">
        <f>'App 5-Organics'!F10+'App 5-Organics'!J10+'App 5-Organics'!N10</f>
        <v>1831</v>
      </c>
      <c r="J11" s="80">
        <f>'App 5-Organics'!G10+'App 5-Organics'!K10+'App 5-Organics'!O10</f>
        <v>1676</v>
      </c>
      <c r="K11" s="80">
        <f>'App 5-Organics'!H10+'App 5-Organics'!L10+'App 5-Organics'!P10</f>
        <v>155</v>
      </c>
      <c r="L11" s="212">
        <f>'App 6-Residual Waste'!F10+'App 6-Residual Waste'!P10+'App 6-Residual Waste'!W10</f>
        <v>49588</v>
      </c>
      <c r="M11" s="212">
        <f>'App 6-Residual Waste'!G10+'App 6-Residual Waste'!Q10+'App 6-Residual Waste'!X10</f>
        <v>19703</v>
      </c>
      <c r="N11" s="212">
        <f>'App 6-Residual Waste'!H10+'App 6-Residual Waste'!R10+'App 6-Residual Waste'!Y10</f>
        <v>29885</v>
      </c>
      <c r="O11" s="211"/>
      <c r="P11" s="212">
        <f t="shared" si="0"/>
        <v>63455.61</v>
      </c>
      <c r="Q11" s="212">
        <f t="shared" si="1"/>
        <v>30891.61</v>
      </c>
      <c r="R11" s="212">
        <f t="shared" si="2"/>
        <v>32564</v>
      </c>
      <c r="S11" s="213">
        <f t="shared" si="3"/>
        <v>0.48682236290849618</v>
      </c>
      <c r="U11" s="406">
        <f>(P11*1000)/'App 1-Services'!G10/52</f>
        <v>7.5821415666796668</v>
      </c>
      <c r="V11" s="406">
        <f>(P11*1000)/'App 1-Services'!H10/52</f>
        <v>20.767532204011101</v>
      </c>
    </row>
    <row r="12" spans="1:22" ht="15.75" x14ac:dyDescent="0.25">
      <c r="A12" s="376">
        <v>10550</v>
      </c>
      <c r="B12" s="376" t="s">
        <v>138</v>
      </c>
      <c r="C12" s="376" t="s">
        <v>704</v>
      </c>
      <c r="D12" s="404" t="s">
        <v>2</v>
      </c>
      <c r="E12" s="79"/>
      <c r="F12" s="80">
        <f>'App 4-Recyclables'!F11+'App 4-Recyclables'!J11+'App 4-Recyclables'!N11</f>
        <v>5873</v>
      </c>
      <c r="G12" s="80">
        <f>'App 4-Recyclables'!G11+'App 4-Recyclables'!K11+'App 4-Recyclables'!O11</f>
        <v>5706.52</v>
      </c>
      <c r="H12" s="80">
        <f>'App 4-Recyclables'!H11+'App 4-Recyclables'!L11+'App 4-Recyclables'!P11</f>
        <v>166.48</v>
      </c>
      <c r="I12" s="80">
        <f>'App 5-Organics'!F11+'App 5-Organics'!J11+'App 5-Organics'!N11</f>
        <v>3661</v>
      </c>
      <c r="J12" s="80">
        <f>'App 5-Organics'!G11+'App 5-Organics'!K11+'App 5-Organics'!O11</f>
        <v>3647</v>
      </c>
      <c r="K12" s="80">
        <f>'App 5-Organics'!H11+'App 5-Organics'!L11+'App 5-Organics'!P11</f>
        <v>14</v>
      </c>
      <c r="L12" s="212">
        <f>'App 6-Residual Waste'!F11+'App 6-Residual Waste'!P11+'App 6-Residual Waste'!W11</f>
        <v>13080</v>
      </c>
      <c r="M12" s="212">
        <f>'App 6-Residual Waste'!G11+'App 6-Residual Waste'!Q11+'App 6-Residual Waste'!X11</f>
        <v>0</v>
      </c>
      <c r="N12" s="212">
        <f>'App 6-Residual Waste'!H11+'App 6-Residual Waste'!R11+'App 6-Residual Waste'!Y11</f>
        <v>13080</v>
      </c>
      <c r="O12" s="211"/>
      <c r="P12" s="212">
        <f t="shared" si="0"/>
        <v>22614</v>
      </c>
      <c r="Q12" s="212">
        <f t="shared" si="1"/>
        <v>9353.52</v>
      </c>
      <c r="R12" s="212">
        <f t="shared" si="2"/>
        <v>13260.48</v>
      </c>
      <c r="S12" s="213">
        <f t="shared" si="3"/>
        <v>0.41361634385778723</v>
      </c>
      <c r="U12" s="406">
        <f>(P12*1000)/'App 1-Services'!G11/52</f>
        <v>12.919155587446243</v>
      </c>
      <c r="V12" s="406">
        <f>(P12*1000)/'App 1-Services'!H11/52</f>
        <v>24.911761206657236</v>
      </c>
    </row>
    <row r="13" spans="1:22" ht="15.75" x14ac:dyDescent="0.25">
      <c r="A13" s="376">
        <v>10600</v>
      </c>
      <c r="B13" s="376" t="s">
        <v>139</v>
      </c>
      <c r="C13" s="376" t="s">
        <v>294</v>
      </c>
      <c r="D13" s="404" t="s">
        <v>5</v>
      </c>
      <c r="E13" s="79"/>
      <c r="F13" s="80">
        <f>'App 4-Recyclables'!F12+'App 4-Recyclables'!J12+'App 4-Recyclables'!N12</f>
        <v>1727.75</v>
      </c>
      <c r="G13" s="80">
        <f>'App 4-Recyclables'!G12+'App 4-Recyclables'!K12+'App 4-Recyclables'!O12</f>
        <v>1611.75</v>
      </c>
      <c r="H13" s="80">
        <f>'App 4-Recyclables'!H12+'App 4-Recyclables'!L12+'App 4-Recyclables'!P12</f>
        <v>116</v>
      </c>
      <c r="I13" s="80">
        <f>'App 5-Organics'!F12+'App 5-Organics'!J12+'App 5-Organics'!N12</f>
        <v>2022.7800000000002</v>
      </c>
      <c r="J13" s="80">
        <f>'App 5-Organics'!G12+'App 5-Organics'!K12+'App 5-Organics'!O12</f>
        <v>1982.7800000000002</v>
      </c>
      <c r="K13" s="80">
        <f>'App 5-Organics'!H12+'App 5-Organics'!L12+'App 5-Organics'!P12</f>
        <v>40</v>
      </c>
      <c r="L13" s="212">
        <f>'App 6-Residual Waste'!F12+'App 6-Residual Waste'!P12+'App 6-Residual Waste'!W12</f>
        <v>2506.9599999999996</v>
      </c>
      <c r="M13" s="212">
        <f>'App 6-Residual Waste'!G12+'App 6-Residual Waste'!Q12+'App 6-Residual Waste'!X12</f>
        <v>1247.3</v>
      </c>
      <c r="N13" s="212">
        <f>'App 6-Residual Waste'!H12+'App 6-Residual Waste'!R12+'App 6-Residual Waste'!Y12</f>
        <v>1259.6599999999999</v>
      </c>
      <c r="O13" s="211"/>
      <c r="P13" s="212">
        <f t="shared" si="0"/>
        <v>6257.49</v>
      </c>
      <c r="Q13" s="212">
        <f t="shared" si="1"/>
        <v>4841.83</v>
      </c>
      <c r="R13" s="212">
        <f t="shared" si="2"/>
        <v>1415.6599999999999</v>
      </c>
      <c r="S13" s="213">
        <f t="shared" si="3"/>
        <v>0.77376551940154925</v>
      </c>
      <c r="U13" s="406">
        <f>(P13*1000)/'App 1-Services'!G12/52</f>
        <v>9.2098841385157009</v>
      </c>
      <c r="V13" s="406">
        <f>(P13*1000)/'App 1-Services'!H12/52</f>
        <v>20.358035214658457</v>
      </c>
    </row>
    <row r="14" spans="1:22" ht="15.75" x14ac:dyDescent="0.25">
      <c r="A14" s="376">
        <v>10650</v>
      </c>
      <c r="B14" s="376" t="s">
        <v>140</v>
      </c>
      <c r="C14" s="376" t="s">
        <v>703</v>
      </c>
      <c r="D14" s="404" t="s">
        <v>2</v>
      </c>
      <c r="E14" s="79"/>
      <c r="F14" s="80">
        <f>'App 4-Recyclables'!F13+'App 4-Recyclables'!J13+'App 4-Recyclables'!N13</f>
        <v>1179</v>
      </c>
      <c r="G14" s="80">
        <f>'App 4-Recyclables'!G13+'App 4-Recyclables'!K13+'App 4-Recyclables'!O13</f>
        <v>1149.71</v>
      </c>
      <c r="H14" s="80">
        <f>'App 4-Recyclables'!H13+'App 4-Recyclables'!L13+'App 4-Recyclables'!P13</f>
        <v>29.29</v>
      </c>
      <c r="I14" s="80">
        <f>'App 5-Organics'!F13+'App 5-Organics'!J13+'App 5-Organics'!N13</f>
        <v>235</v>
      </c>
      <c r="J14" s="80">
        <f>'App 5-Organics'!G13+'App 5-Organics'!K13+'App 5-Organics'!O13</f>
        <v>235</v>
      </c>
      <c r="K14" s="80">
        <f>'App 5-Organics'!H13+'App 5-Organics'!L13+'App 5-Organics'!P13</f>
        <v>0</v>
      </c>
      <c r="L14" s="212">
        <f>'App 6-Residual Waste'!F13+'App 6-Residual Waste'!P13+'App 6-Residual Waste'!W13</f>
        <v>2667</v>
      </c>
      <c r="M14" s="212">
        <f>'App 6-Residual Waste'!G13+'App 6-Residual Waste'!Q13+'App 6-Residual Waste'!X13</f>
        <v>1</v>
      </c>
      <c r="N14" s="212">
        <f>'App 6-Residual Waste'!H13+'App 6-Residual Waste'!R13+'App 6-Residual Waste'!Y13</f>
        <v>2666</v>
      </c>
      <c r="O14" s="211"/>
      <c r="P14" s="212">
        <f t="shared" si="0"/>
        <v>4081</v>
      </c>
      <c r="Q14" s="212">
        <f t="shared" si="1"/>
        <v>1385.71</v>
      </c>
      <c r="R14" s="212">
        <f t="shared" si="2"/>
        <v>2695.29</v>
      </c>
      <c r="S14" s="213">
        <f t="shared" si="3"/>
        <v>0.33955158049497675</v>
      </c>
      <c r="U14" s="406">
        <f>(P14*1000)/'App 1-Services'!G13/52</f>
        <v>9.3207564407089354</v>
      </c>
      <c r="V14" s="406">
        <f>(P14*1000)/'App 1-Services'!H13/52</f>
        <v>22.113488089819448</v>
      </c>
    </row>
    <row r="15" spans="1:22" ht="15.75" x14ac:dyDescent="0.25">
      <c r="A15" s="376">
        <v>10750</v>
      </c>
      <c r="B15" s="376" t="s">
        <v>141</v>
      </c>
      <c r="C15" s="376" t="s">
        <v>129</v>
      </c>
      <c r="D15" s="404" t="s">
        <v>4</v>
      </c>
      <c r="E15" s="79"/>
      <c r="F15" s="80">
        <f>'App 4-Recyclables'!F14+'App 4-Recyclables'!J14+'App 4-Recyclables'!N14</f>
        <v>25013</v>
      </c>
      <c r="G15" s="80">
        <f>'App 4-Recyclables'!G14+'App 4-Recyclables'!K14+'App 4-Recyclables'!O14</f>
        <v>22538.45</v>
      </c>
      <c r="H15" s="80">
        <f>'App 4-Recyclables'!H14+'App 4-Recyclables'!L14+'App 4-Recyclables'!P14</f>
        <v>2474.5500000000002</v>
      </c>
      <c r="I15" s="80">
        <f>'App 5-Organics'!F14+'App 5-Organics'!J14+'App 5-Organics'!N14</f>
        <v>0</v>
      </c>
      <c r="J15" s="80">
        <f>'App 5-Organics'!G14+'App 5-Organics'!K14+'App 5-Organics'!O14</f>
        <v>0</v>
      </c>
      <c r="K15" s="80">
        <f>'App 5-Organics'!H14+'App 5-Organics'!L14+'App 5-Organics'!P14</f>
        <v>0</v>
      </c>
      <c r="L15" s="212">
        <f>'App 6-Residual Waste'!F14+'App 6-Residual Waste'!P14+'App 6-Residual Waste'!W14</f>
        <v>114211</v>
      </c>
      <c r="M15" s="212">
        <f>'App 6-Residual Waste'!G14+'App 6-Residual Waste'!Q14+'App 6-Residual Waste'!X14</f>
        <v>60440</v>
      </c>
      <c r="N15" s="212">
        <f>'App 6-Residual Waste'!H14+'App 6-Residual Waste'!R14+'App 6-Residual Waste'!Y14</f>
        <v>53771</v>
      </c>
      <c r="O15" s="211"/>
      <c r="P15" s="212">
        <f t="shared" si="0"/>
        <v>139224</v>
      </c>
      <c r="Q15" s="212">
        <f t="shared" si="1"/>
        <v>82978.45</v>
      </c>
      <c r="R15" s="212">
        <f t="shared" si="2"/>
        <v>56245.55</v>
      </c>
      <c r="S15" s="213">
        <f t="shared" si="3"/>
        <v>0.59600679480549323</v>
      </c>
      <c r="U15" s="406">
        <f>(P15*1000)/'App 1-Services'!G14/52</f>
        <v>7.690584237815508</v>
      </c>
      <c r="V15" s="406">
        <f>(P15*1000)/'App 1-Services'!H14/52</f>
        <v>21.784002533518425</v>
      </c>
    </row>
    <row r="16" spans="1:22" ht="15.75" x14ac:dyDescent="0.25">
      <c r="A16" s="376">
        <v>10800</v>
      </c>
      <c r="B16" s="376" t="s">
        <v>143</v>
      </c>
      <c r="C16" s="376" t="s">
        <v>142</v>
      </c>
      <c r="D16" s="404" t="s">
        <v>2</v>
      </c>
      <c r="E16" s="79"/>
      <c r="F16" s="80">
        <f>'App 4-Recyclables'!F15+'App 4-Recyclables'!J15+'App 4-Recyclables'!N15</f>
        <v>61</v>
      </c>
      <c r="G16" s="80">
        <f>'App 4-Recyclables'!G15+'App 4-Recyclables'!K15+'App 4-Recyclables'!O15</f>
        <v>61</v>
      </c>
      <c r="H16" s="80">
        <f>'App 4-Recyclables'!H15+'App 4-Recyclables'!L15+'App 4-Recyclables'!P15</f>
        <v>0</v>
      </c>
      <c r="I16" s="80">
        <f>'App 5-Organics'!F15+'App 5-Organics'!J15+'App 5-Organics'!N15</f>
        <v>214.92</v>
      </c>
      <c r="J16" s="80">
        <f>'App 5-Organics'!G15+'App 5-Organics'!K15+'App 5-Organics'!O15</f>
        <v>214.92</v>
      </c>
      <c r="K16" s="80">
        <f>'App 5-Organics'!H15+'App 5-Organics'!L15+'App 5-Organics'!P15</f>
        <v>0</v>
      </c>
      <c r="L16" s="212">
        <f>'App 6-Residual Waste'!F15+'App 6-Residual Waste'!P15+'App 6-Residual Waste'!W15</f>
        <v>1818.1399999999999</v>
      </c>
      <c r="M16" s="212">
        <f>'App 6-Residual Waste'!G15+'App 6-Residual Waste'!Q15+'App 6-Residual Waste'!X15</f>
        <v>1</v>
      </c>
      <c r="N16" s="212">
        <f>'App 6-Residual Waste'!H15+'App 6-Residual Waste'!R15+'App 6-Residual Waste'!Y15</f>
        <v>1817.1399999999999</v>
      </c>
      <c r="O16" s="211"/>
      <c r="P16" s="212">
        <f t="shared" si="0"/>
        <v>2094.06</v>
      </c>
      <c r="Q16" s="212">
        <f t="shared" si="1"/>
        <v>276.91999999999996</v>
      </c>
      <c r="R16" s="212">
        <f t="shared" si="2"/>
        <v>1817.1399999999999</v>
      </c>
      <c r="S16" s="213">
        <f t="shared" si="3"/>
        <v>0.13224071898608444</v>
      </c>
      <c r="U16" s="406">
        <f>(P16*1000)/'App 1-Services'!G15/52</f>
        <v>6.8058787587264851</v>
      </c>
      <c r="V16" s="406">
        <f>(P16*1000)/'App 1-Services'!H15/52</f>
        <v>11.453465476503018</v>
      </c>
    </row>
    <row r="17" spans="1:22" ht="15.75" x14ac:dyDescent="0.25">
      <c r="A17" s="376">
        <v>10850</v>
      </c>
      <c r="B17" s="376" t="s">
        <v>144</v>
      </c>
      <c r="C17" s="376" t="s">
        <v>293</v>
      </c>
      <c r="D17" s="404" t="s">
        <v>2</v>
      </c>
      <c r="E17" s="79"/>
      <c r="F17" s="80">
        <f>'App 4-Recyclables'!F16+'App 4-Recyclables'!J16+'App 4-Recyclables'!N16</f>
        <v>1128.83</v>
      </c>
      <c r="G17" s="80">
        <f>'App 4-Recyclables'!G16+'App 4-Recyclables'!K16+'App 4-Recyclables'!O16</f>
        <v>1089.1500000000001</v>
      </c>
      <c r="H17" s="80">
        <f>'App 4-Recyclables'!H16+'App 4-Recyclables'!L16+'App 4-Recyclables'!P16</f>
        <v>39.68</v>
      </c>
      <c r="I17" s="80">
        <f>'App 5-Organics'!F16+'App 5-Organics'!J16+'App 5-Organics'!N16</f>
        <v>97.95</v>
      </c>
      <c r="J17" s="80">
        <f>'App 5-Organics'!G16+'App 5-Organics'!K16+'App 5-Organics'!O16</f>
        <v>97.95</v>
      </c>
      <c r="K17" s="80">
        <f>'App 5-Organics'!H16+'App 5-Organics'!L16+'App 5-Organics'!P16</f>
        <v>0</v>
      </c>
      <c r="L17" s="212">
        <f>'App 6-Residual Waste'!F16+'App 6-Residual Waste'!P16+'App 6-Residual Waste'!W16</f>
        <v>2002.25</v>
      </c>
      <c r="M17" s="212">
        <f>'App 6-Residual Waste'!G16+'App 6-Residual Waste'!Q16+'App 6-Residual Waste'!X16</f>
        <v>128.97999999999999</v>
      </c>
      <c r="N17" s="212">
        <f>'App 6-Residual Waste'!H16+'App 6-Residual Waste'!R16+'App 6-Residual Waste'!Y16</f>
        <v>1873.27</v>
      </c>
      <c r="O17" s="211"/>
      <c r="P17" s="212">
        <f t="shared" si="0"/>
        <v>3229.0299999999997</v>
      </c>
      <c r="Q17" s="212">
        <f t="shared" si="1"/>
        <v>1316.0800000000002</v>
      </c>
      <c r="R17" s="212">
        <f t="shared" si="2"/>
        <v>1912.95</v>
      </c>
      <c r="S17" s="213">
        <f t="shared" si="3"/>
        <v>0.40757750779645907</v>
      </c>
      <c r="U17" s="406">
        <f>(P17*1000)/'App 1-Services'!G16/52</f>
        <v>8.327307331263345</v>
      </c>
      <c r="V17" s="406">
        <f>(P17*1000)/'App 1-Services'!H16/52</f>
        <v>17.492036836403031</v>
      </c>
    </row>
    <row r="18" spans="1:22" ht="15.75" x14ac:dyDescent="0.25">
      <c r="A18" s="376">
        <v>10900</v>
      </c>
      <c r="B18" s="376" t="s">
        <v>145</v>
      </c>
      <c r="C18" s="376" t="s">
        <v>129</v>
      </c>
      <c r="D18" s="404" t="s">
        <v>5</v>
      </c>
      <c r="E18" s="79"/>
      <c r="F18" s="80">
        <f>'App 4-Recyclables'!F17+'App 4-Recyclables'!J17+'App 4-Recyclables'!N17</f>
        <v>11623.17</v>
      </c>
      <c r="G18" s="80">
        <f>'App 4-Recyclables'!G17+'App 4-Recyclables'!K17+'App 4-Recyclables'!O17</f>
        <v>10855.41</v>
      </c>
      <c r="H18" s="80">
        <f>'App 4-Recyclables'!H17+'App 4-Recyclables'!L17+'App 4-Recyclables'!P17</f>
        <v>767.76</v>
      </c>
      <c r="I18" s="80">
        <f>'App 5-Organics'!F17+'App 5-Organics'!J17+'App 5-Organics'!N17</f>
        <v>15485.3</v>
      </c>
      <c r="J18" s="80">
        <f>'App 5-Organics'!G17+'App 5-Organics'!K17+'App 5-Organics'!O17</f>
        <v>15338.279999999999</v>
      </c>
      <c r="K18" s="80">
        <f>'App 5-Organics'!H17+'App 5-Organics'!L17+'App 5-Organics'!P17</f>
        <v>147.02000000000001</v>
      </c>
      <c r="L18" s="212">
        <f>'App 6-Residual Waste'!F17+'App 6-Residual Waste'!P17+'App 6-Residual Waste'!W17</f>
        <v>22248.370000000003</v>
      </c>
      <c r="M18" s="212">
        <f>'App 6-Residual Waste'!G17+'App 6-Residual Waste'!Q17+'App 6-Residual Waste'!X17</f>
        <v>732.10000000000059</v>
      </c>
      <c r="N18" s="212">
        <f>'App 6-Residual Waste'!H17+'App 6-Residual Waste'!R17+'App 6-Residual Waste'!Y17</f>
        <v>21516.27</v>
      </c>
      <c r="O18" s="211"/>
      <c r="P18" s="212">
        <f t="shared" si="0"/>
        <v>49356.840000000004</v>
      </c>
      <c r="Q18" s="212">
        <f t="shared" si="1"/>
        <v>26925.79</v>
      </c>
      <c r="R18" s="212">
        <f t="shared" si="2"/>
        <v>22431.05</v>
      </c>
      <c r="S18" s="213">
        <f t="shared" si="3"/>
        <v>0.54553310138979727</v>
      </c>
      <c r="U18" s="406">
        <f>(P18*1000)/'App 1-Services'!G17/52</f>
        <v>11.853956439204719</v>
      </c>
      <c r="V18" s="406">
        <f>(P18*1000)/'App 1-Services'!H17/52</f>
        <v>27.601779690589748</v>
      </c>
    </row>
    <row r="19" spans="1:22" ht="15.75" x14ac:dyDescent="0.25">
      <c r="A19" s="376">
        <v>10950</v>
      </c>
      <c r="B19" s="376" t="s">
        <v>146</v>
      </c>
      <c r="C19" s="376" t="s">
        <v>293</v>
      </c>
      <c r="D19" s="404" t="s">
        <v>2</v>
      </c>
      <c r="E19" s="79"/>
      <c r="F19" s="80">
        <f>'App 4-Recyclables'!F18+'App 4-Recyclables'!J18+'App 4-Recyclables'!N18</f>
        <v>200</v>
      </c>
      <c r="G19" s="80">
        <f>'App 4-Recyclables'!G18+'App 4-Recyclables'!K18+'App 4-Recyclables'!O18</f>
        <v>138</v>
      </c>
      <c r="H19" s="80">
        <f>'App 4-Recyclables'!H18+'App 4-Recyclables'!L18+'App 4-Recyclables'!P18</f>
        <v>62</v>
      </c>
      <c r="I19" s="80">
        <f>'App 5-Organics'!F18+'App 5-Organics'!J18+'App 5-Organics'!N18</f>
        <v>286</v>
      </c>
      <c r="J19" s="80">
        <f>'App 5-Organics'!G18+'App 5-Organics'!K18+'App 5-Organics'!O18</f>
        <v>286</v>
      </c>
      <c r="K19" s="80">
        <f>'App 5-Organics'!H18+'App 5-Organics'!L18+'App 5-Organics'!P18</f>
        <v>0</v>
      </c>
      <c r="L19" s="212">
        <f>'App 6-Residual Waste'!F18+'App 6-Residual Waste'!P18+'App 6-Residual Waste'!W18</f>
        <v>1714</v>
      </c>
      <c r="M19" s="212">
        <f>'App 6-Residual Waste'!G18+'App 6-Residual Waste'!Q18+'App 6-Residual Waste'!X18</f>
        <v>0</v>
      </c>
      <c r="N19" s="212">
        <f>'App 6-Residual Waste'!H18+'App 6-Residual Waste'!R18+'App 6-Residual Waste'!Y18</f>
        <v>1714</v>
      </c>
      <c r="O19" s="211"/>
      <c r="P19" s="212">
        <f t="shared" si="0"/>
        <v>2200</v>
      </c>
      <c r="Q19" s="212">
        <f t="shared" si="1"/>
        <v>424</v>
      </c>
      <c r="R19" s="212">
        <f t="shared" si="2"/>
        <v>1776</v>
      </c>
      <c r="S19" s="213">
        <f t="shared" si="3"/>
        <v>0.19272727272727272</v>
      </c>
      <c r="U19" s="406">
        <f>(P19*1000)/'App 1-Services'!G18/52</f>
        <v>14.069734721547158</v>
      </c>
      <c r="V19" s="406">
        <f>(P19*1000)/'App 1-Services'!H18/52</f>
        <v>7.2818747517542697</v>
      </c>
    </row>
    <row r="20" spans="1:22" ht="15.75" x14ac:dyDescent="0.25">
      <c r="A20" s="376">
        <v>11150</v>
      </c>
      <c r="B20" s="376" t="s">
        <v>150</v>
      </c>
      <c r="C20" s="376" t="s">
        <v>293</v>
      </c>
      <c r="D20" s="404" t="s">
        <v>2</v>
      </c>
      <c r="E20" s="79"/>
      <c r="F20" s="80">
        <f>'App 4-Recyclables'!F19+'App 4-Recyclables'!J19+'App 4-Recyclables'!N19</f>
        <v>0</v>
      </c>
      <c r="G20" s="80">
        <f>'App 4-Recyclables'!G19+'App 4-Recyclables'!K19+'App 4-Recyclables'!O19</f>
        <v>0</v>
      </c>
      <c r="H20" s="80">
        <f>'App 4-Recyclables'!H19+'App 4-Recyclables'!L19+'App 4-Recyclables'!P19</f>
        <v>0</v>
      </c>
      <c r="I20" s="80">
        <f>'App 5-Organics'!F19+'App 5-Organics'!J19+'App 5-Organics'!N19</f>
        <v>0</v>
      </c>
      <c r="J20" s="80">
        <f>'App 5-Organics'!G19+'App 5-Organics'!K19+'App 5-Organics'!O19</f>
        <v>0</v>
      </c>
      <c r="K20" s="80">
        <f>'App 5-Organics'!H19+'App 5-Organics'!L19+'App 5-Organics'!P19</f>
        <v>0</v>
      </c>
      <c r="L20" s="212">
        <f>'App 6-Residual Waste'!F19+'App 6-Residual Waste'!P19+'App 6-Residual Waste'!W19</f>
        <v>466.51</v>
      </c>
      <c r="M20" s="212">
        <f>'App 6-Residual Waste'!G19+'App 6-Residual Waste'!Q19+'App 6-Residual Waste'!X19</f>
        <v>0</v>
      </c>
      <c r="N20" s="212">
        <f>'App 6-Residual Waste'!H19+'App 6-Residual Waste'!R19+'App 6-Residual Waste'!Y19</f>
        <v>466.51</v>
      </c>
      <c r="O20" s="211"/>
      <c r="P20" s="212">
        <f t="shared" si="0"/>
        <v>466.51</v>
      </c>
      <c r="Q20" s="212">
        <f t="shared" si="1"/>
        <v>0</v>
      </c>
      <c r="R20" s="212">
        <f t="shared" si="2"/>
        <v>466.51</v>
      </c>
      <c r="S20" s="213">
        <f t="shared" si="3"/>
        <v>0</v>
      </c>
      <c r="U20" s="406">
        <f>(P20*1000)/'App 1-Services'!G19/52</f>
        <v>3.1881116396041773</v>
      </c>
      <c r="V20" s="406">
        <f>(P20*1000)/'App 1-Services'!H19/52</f>
        <v>9.5643349188125306</v>
      </c>
    </row>
    <row r="21" spans="1:22" ht="15.75" x14ac:dyDescent="0.25">
      <c r="A21" s="376">
        <v>11200</v>
      </c>
      <c r="B21" s="376" t="s">
        <v>151</v>
      </c>
      <c r="C21" s="376" t="s">
        <v>293</v>
      </c>
      <c r="D21" s="404" t="s">
        <v>2</v>
      </c>
      <c r="E21" s="79"/>
      <c r="F21" s="80">
        <f>'App 4-Recyclables'!F20+'App 4-Recyclables'!J20+'App 4-Recyclables'!N20</f>
        <v>109</v>
      </c>
      <c r="G21" s="80">
        <f>'App 4-Recyclables'!G20+'App 4-Recyclables'!K20+'App 4-Recyclables'!O20</f>
        <v>109</v>
      </c>
      <c r="H21" s="80">
        <f>'App 4-Recyclables'!H20+'App 4-Recyclables'!L20+'App 4-Recyclables'!P20</f>
        <v>0</v>
      </c>
      <c r="I21" s="80">
        <f>'App 5-Organics'!F20+'App 5-Organics'!J20+'App 5-Organics'!N20</f>
        <v>0</v>
      </c>
      <c r="J21" s="80">
        <f>'App 5-Organics'!G20+'App 5-Organics'!K20+'App 5-Organics'!O20</f>
        <v>0</v>
      </c>
      <c r="K21" s="80">
        <f>'App 5-Organics'!H20+'App 5-Organics'!L20+'App 5-Organics'!P20</f>
        <v>0</v>
      </c>
      <c r="L21" s="212">
        <f>'App 6-Residual Waste'!F20+'App 6-Residual Waste'!P20+'App 6-Residual Waste'!W20</f>
        <v>1045</v>
      </c>
      <c r="M21" s="212">
        <f>'App 6-Residual Waste'!G20+'App 6-Residual Waste'!Q20+'App 6-Residual Waste'!X20</f>
        <v>0</v>
      </c>
      <c r="N21" s="212">
        <f>'App 6-Residual Waste'!H20+'App 6-Residual Waste'!R20+'App 6-Residual Waste'!Y20</f>
        <v>1045</v>
      </c>
      <c r="O21" s="211"/>
      <c r="P21" s="212">
        <f t="shared" si="0"/>
        <v>1154</v>
      </c>
      <c r="Q21" s="212">
        <f t="shared" si="1"/>
        <v>109</v>
      </c>
      <c r="R21" s="212">
        <f t="shared" si="2"/>
        <v>1045</v>
      </c>
      <c r="S21" s="213">
        <f t="shared" si="3"/>
        <v>9.4454072790294621E-2</v>
      </c>
      <c r="U21" s="406">
        <f>(P21*1000)/'App 1-Services'!G20/52</f>
        <v>11.835897435897436</v>
      </c>
      <c r="V21" s="406">
        <f>(P21*1000)/'App 1-Services'!H20/52</f>
        <v>24.685548044836143</v>
      </c>
    </row>
    <row r="22" spans="1:22" ht="15.75" x14ac:dyDescent="0.25">
      <c r="A22" s="376">
        <v>11250</v>
      </c>
      <c r="B22" s="376" t="s">
        <v>152</v>
      </c>
      <c r="C22" s="376" t="s">
        <v>293</v>
      </c>
      <c r="D22" s="404" t="s">
        <v>2</v>
      </c>
      <c r="E22" s="79"/>
      <c r="F22" s="80">
        <f>'App 4-Recyclables'!F21+'App 4-Recyclables'!J21+'App 4-Recyclables'!N21</f>
        <v>0</v>
      </c>
      <c r="G22" s="80">
        <f>'App 4-Recyclables'!G21+'App 4-Recyclables'!K21+'App 4-Recyclables'!O21</f>
        <v>0</v>
      </c>
      <c r="H22" s="80">
        <f>'App 4-Recyclables'!H21+'App 4-Recyclables'!L21+'App 4-Recyclables'!P21</f>
        <v>0</v>
      </c>
      <c r="I22" s="80">
        <f>'App 5-Organics'!F21+'App 5-Organics'!J21+'App 5-Organics'!N21</f>
        <v>5225.9799999999996</v>
      </c>
      <c r="J22" s="80">
        <f>'App 5-Organics'!G21+'App 5-Organics'!K21+'App 5-Organics'!O21</f>
        <v>4944.5599999999995</v>
      </c>
      <c r="K22" s="80">
        <f>'App 5-Organics'!H21+'App 5-Organics'!L21+'App 5-Organics'!P21</f>
        <v>281.42</v>
      </c>
      <c r="L22" s="212">
        <f>'App 6-Residual Waste'!F21+'App 6-Residual Waste'!P21+'App 6-Residual Waste'!W21</f>
        <v>16795.3</v>
      </c>
      <c r="M22" s="212">
        <f>'App 6-Residual Waste'!G21+'App 6-Residual Waste'!Q21+'App 6-Residual Waste'!X21</f>
        <v>1674.3799999999992</v>
      </c>
      <c r="N22" s="212">
        <f>'App 6-Residual Waste'!H21+'App 6-Residual Waste'!R21+'App 6-Residual Waste'!Y21</f>
        <v>15120.919999999998</v>
      </c>
      <c r="O22" s="211"/>
      <c r="P22" s="212">
        <f t="shared" si="0"/>
        <v>22021.279999999999</v>
      </c>
      <c r="Q22" s="212">
        <f t="shared" si="1"/>
        <v>6618.9399999999987</v>
      </c>
      <c r="R22" s="212">
        <f t="shared" si="2"/>
        <v>15402.339999999998</v>
      </c>
      <c r="S22" s="213">
        <f t="shared" si="3"/>
        <v>0.30057017575726747</v>
      </c>
      <c r="U22" s="406">
        <f>(P22*1000)/'App 1-Services'!G21/52</f>
        <v>22.820830621660495</v>
      </c>
      <c r="V22" s="406">
        <f>(P22*1000)/'App 1-Services'!H21/52</f>
        <v>44.765978207838671</v>
      </c>
    </row>
    <row r="23" spans="1:22" ht="15.75" x14ac:dyDescent="0.25">
      <c r="A23" s="376">
        <v>11300</v>
      </c>
      <c r="B23" s="376" t="s">
        <v>153</v>
      </c>
      <c r="C23" s="376" t="s">
        <v>127</v>
      </c>
      <c r="D23" s="404" t="s">
        <v>4</v>
      </c>
      <c r="E23" s="79"/>
      <c r="F23" s="80">
        <f>'App 4-Recyclables'!F22+'App 4-Recyclables'!J22+'App 4-Recyclables'!N22</f>
        <v>2586.31</v>
      </c>
      <c r="G23" s="80">
        <f>'App 4-Recyclables'!G22+'App 4-Recyclables'!K22+'App 4-Recyclables'!O22</f>
        <v>2298.17</v>
      </c>
      <c r="H23" s="80">
        <f>'App 4-Recyclables'!H22+'App 4-Recyclables'!L22+'App 4-Recyclables'!P22</f>
        <v>288.14</v>
      </c>
      <c r="I23" s="80">
        <f>'App 5-Organics'!F22+'App 5-Organics'!J22+'App 5-Organics'!N22</f>
        <v>2195.54</v>
      </c>
      <c r="J23" s="80">
        <f>'App 5-Organics'!G22+'App 5-Organics'!K22+'App 5-Organics'!O22</f>
        <v>2195.54</v>
      </c>
      <c r="K23" s="80">
        <f>'App 5-Organics'!H22+'App 5-Organics'!L22+'App 5-Organics'!P22</f>
        <v>0</v>
      </c>
      <c r="L23" s="212">
        <f>'App 6-Residual Waste'!F22+'App 6-Residual Waste'!P22+'App 6-Residual Waste'!W22</f>
        <v>8404.23</v>
      </c>
      <c r="M23" s="212">
        <f>'App 6-Residual Waste'!G22+'App 6-Residual Waste'!Q22+'App 6-Residual Waste'!X22</f>
        <v>0.11</v>
      </c>
      <c r="N23" s="212">
        <f>'App 6-Residual Waste'!H22+'App 6-Residual Waste'!R22+'App 6-Residual Waste'!Y22</f>
        <v>8404.119999999999</v>
      </c>
      <c r="O23" s="211"/>
      <c r="P23" s="212">
        <f t="shared" si="0"/>
        <v>13186.08</v>
      </c>
      <c r="Q23" s="212">
        <f t="shared" si="1"/>
        <v>4493.82</v>
      </c>
      <c r="R23" s="212">
        <f t="shared" si="2"/>
        <v>8692.2599999999984</v>
      </c>
      <c r="S23" s="213">
        <f t="shared" si="3"/>
        <v>0.34080029849659638</v>
      </c>
      <c r="U23" s="406">
        <f>(P23*1000)/'App 1-Services'!G22/52</f>
        <v>6.9464035485128486</v>
      </c>
      <c r="V23" s="406">
        <f>(P23*1000)/'App 1-Services'!H22/52</f>
        <v>17.827507138530759</v>
      </c>
    </row>
    <row r="24" spans="1:22" ht="15.75" x14ac:dyDescent="0.25">
      <c r="A24" s="376">
        <v>11350</v>
      </c>
      <c r="B24" s="376" t="s">
        <v>154</v>
      </c>
      <c r="C24" s="376" t="s">
        <v>131</v>
      </c>
      <c r="D24" s="404" t="s">
        <v>5</v>
      </c>
      <c r="E24" s="79"/>
      <c r="F24" s="80">
        <f>'App 4-Recyclables'!F23+'App 4-Recyclables'!J23+'App 4-Recyclables'!N23</f>
        <v>6905.43</v>
      </c>
      <c r="G24" s="80">
        <f>'App 4-Recyclables'!G23+'App 4-Recyclables'!K23+'App 4-Recyclables'!O23</f>
        <v>6892.27</v>
      </c>
      <c r="H24" s="80">
        <f>'App 4-Recyclables'!H23+'App 4-Recyclables'!L23+'App 4-Recyclables'!P23</f>
        <v>13.16</v>
      </c>
      <c r="I24" s="80">
        <f>'App 5-Organics'!F23+'App 5-Organics'!J23+'App 5-Organics'!N23</f>
        <v>7275.51</v>
      </c>
      <c r="J24" s="80">
        <f>'App 5-Organics'!G23+'App 5-Organics'!K23+'App 5-Organics'!O23</f>
        <v>7275.51</v>
      </c>
      <c r="K24" s="80">
        <f>'App 5-Organics'!H23+'App 5-Organics'!L23+'App 5-Organics'!P23</f>
        <v>0</v>
      </c>
      <c r="L24" s="212">
        <f>'App 6-Residual Waste'!F23+'App 6-Residual Waste'!P23+'App 6-Residual Waste'!W23</f>
        <v>9678.6</v>
      </c>
      <c r="M24" s="212">
        <f>'App 6-Residual Waste'!G23+'App 6-Residual Waste'!Q23+'App 6-Residual Waste'!X23</f>
        <v>69.259999999999891</v>
      </c>
      <c r="N24" s="212">
        <f>'App 6-Residual Waste'!H23+'App 6-Residual Waste'!R23+'App 6-Residual Waste'!Y23</f>
        <v>9609.34</v>
      </c>
      <c r="O24" s="211"/>
      <c r="P24" s="212">
        <f t="shared" si="0"/>
        <v>23859.54</v>
      </c>
      <c r="Q24" s="212">
        <f t="shared" si="1"/>
        <v>14237.04</v>
      </c>
      <c r="R24" s="212">
        <f t="shared" si="2"/>
        <v>9622.5</v>
      </c>
      <c r="S24" s="213">
        <f t="shared" si="3"/>
        <v>0.5967021996232954</v>
      </c>
      <c r="U24" s="406">
        <f>(P24*1000)/'App 1-Services'!G23/52</f>
        <v>13.788007322925287</v>
      </c>
      <c r="V24" s="406">
        <f>(P24*1000)/'App 1-Services'!H23/52</f>
        <v>29.89557647200337</v>
      </c>
    </row>
    <row r="25" spans="1:22" ht="15.75" x14ac:dyDescent="0.25">
      <c r="A25" s="376">
        <v>11400</v>
      </c>
      <c r="B25" s="376" t="s">
        <v>155</v>
      </c>
      <c r="C25" s="376" t="s">
        <v>293</v>
      </c>
      <c r="D25" s="404" t="s">
        <v>2</v>
      </c>
      <c r="E25" s="79"/>
      <c r="F25" s="80">
        <f>'App 4-Recyclables'!F24+'App 4-Recyclables'!J24+'App 4-Recyclables'!N24</f>
        <v>2269.2200000000003</v>
      </c>
      <c r="G25" s="80">
        <f>'App 4-Recyclables'!G24+'App 4-Recyclables'!K24+'App 4-Recyclables'!O24</f>
        <v>2218.6400000000003</v>
      </c>
      <c r="H25" s="80">
        <f>'App 4-Recyclables'!H24+'App 4-Recyclables'!L24+'App 4-Recyclables'!P24</f>
        <v>50.58</v>
      </c>
      <c r="I25" s="80">
        <f>'App 5-Organics'!F24+'App 5-Organics'!J24+'App 5-Organics'!N24</f>
        <v>257.82</v>
      </c>
      <c r="J25" s="80">
        <f>'App 5-Organics'!G24+'App 5-Organics'!K24+'App 5-Organics'!O24</f>
        <v>257.82</v>
      </c>
      <c r="K25" s="80">
        <f>'App 5-Organics'!H24+'App 5-Organics'!L24+'App 5-Organics'!P24</f>
        <v>0</v>
      </c>
      <c r="L25" s="212">
        <f>'App 6-Residual Waste'!F24+'App 6-Residual Waste'!P24+'App 6-Residual Waste'!W24</f>
        <v>7771.87</v>
      </c>
      <c r="M25" s="212">
        <f>'App 6-Residual Waste'!G24+'App 6-Residual Waste'!Q24+'App 6-Residual Waste'!X24</f>
        <v>0</v>
      </c>
      <c r="N25" s="212">
        <f>'App 6-Residual Waste'!H24+'App 6-Residual Waste'!R24+'App 6-Residual Waste'!Y24</f>
        <v>7771.87</v>
      </c>
      <c r="O25" s="211"/>
      <c r="P25" s="212">
        <f t="shared" si="0"/>
        <v>10298.91</v>
      </c>
      <c r="Q25" s="212">
        <f t="shared" si="1"/>
        <v>2476.4600000000005</v>
      </c>
      <c r="R25" s="212">
        <f t="shared" si="2"/>
        <v>7822.45</v>
      </c>
      <c r="S25" s="213">
        <f t="shared" si="3"/>
        <v>0.24045845628323778</v>
      </c>
      <c r="U25" s="406">
        <f>(P25*1000)/'App 1-Services'!G24/52</f>
        <v>14.147864957387068</v>
      </c>
      <c r="V25" s="406">
        <f>(P25*1000)/'App 1-Services'!H24/52</f>
        <v>27.871652341466582</v>
      </c>
    </row>
    <row r="26" spans="1:22" ht="15.75" x14ac:dyDescent="0.25">
      <c r="A26" s="376">
        <v>11450</v>
      </c>
      <c r="B26" s="376" t="s">
        <v>157</v>
      </c>
      <c r="C26" s="376" t="s">
        <v>156</v>
      </c>
      <c r="D26" s="404" t="s">
        <v>4</v>
      </c>
      <c r="E26" s="79"/>
      <c r="F26" s="80">
        <f>'App 4-Recyclables'!F25+'App 4-Recyclables'!J25+'App 4-Recyclables'!N25</f>
        <v>9197</v>
      </c>
      <c r="G26" s="80">
        <f>'App 4-Recyclables'!G25+'App 4-Recyclables'!K25+'App 4-Recyclables'!O25</f>
        <v>8322.09</v>
      </c>
      <c r="H26" s="80">
        <f>'App 4-Recyclables'!H25+'App 4-Recyclables'!L25+'App 4-Recyclables'!P25</f>
        <v>874.91</v>
      </c>
      <c r="I26" s="80">
        <f>'App 5-Organics'!F25+'App 5-Organics'!J25+'App 5-Organics'!N25</f>
        <v>9195</v>
      </c>
      <c r="J26" s="80">
        <f>'App 5-Organics'!G25+'App 5-Organics'!K25+'App 5-Organics'!O25</f>
        <v>9176.34</v>
      </c>
      <c r="K26" s="80">
        <f>'App 5-Organics'!H25+'App 5-Organics'!L25+'App 5-Organics'!P25</f>
        <v>18.66</v>
      </c>
      <c r="L26" s="212">
        <f>'App 6-Residual Waste'!F25+'App 6-Residual Waste'!P25+'App 6-Residual Waste'!W25</f>
        <v>19960.77</v>
      </c>
      <c r="M26" s="212">
        <f>'App 6-Residual Waste'!G25+'App 6-Residual Waste'!Q25+'App 6-Residual Waste'!X25</f>
        <v>36.769999999999996</v>
      </c>
      <c r="N26" s="212">
        <f>'App 6-Residual Waste'!H25+'App 6-Residual Waste'!R25+'App 6-Residual Waste'!Y25</f>
        <v>19924</v>
      </c>
      <c r="O26" s="211"/>
      <c r="P26" s="212">
        <f t="shared" si="0"/>
        <v>38352.770000000004</v>
      </c>
      <c r="Q26" s="212">
        <f t="shared" si="1"/>
        <v>17535.2</v>
      </c>
      <c r="R26" s="212">
        <f t="shared" si="2"/>
        <v>20817.57</v>
      </c>
      <c r="S26" s="213">
        <f t="shared" si="3"/>
        <v>0.45720817557636645</v>
      </c>
      <c r="U26" s="406">
        <f>(P26*1000)/'App 1-Services'!G25/52</f>
        <v>9.5163252119989856</v>
      </c>
      <c r="V26" s="406">
        <f>(P26*1000)/'App 1-Services'!H25/52</f>
        <v>26.588077477677338</v>
      </c>
    </row>
    <row r="27" spans="1:22" ht="15.75" x14ac:dyDescent="0.25">
      <c r="A27" s="376">
        <v>11500</v>
      </c>
      <c r="B27" s="376" t="s">
        <v>158</v>
      </c>
      <c r="C27" s="376" t="s">
        <v>156</v>
      </c>
      <c r="D27" s="404" t="s">
        <v>4</v>
      </c>
      <c r="E27" s="79"/>
      <c r="F27" s="80">
        <f>'App 4-Recyclables'!F26+'App 4-Recyclables'!J26+'App 4-Recyclables'!N26</f>
        <v>15801</v>
      </c>
      <c r="G27" s="80">
        <f>'App 4-Recyclables'!G26+'App 4-Recyclables'!K26+'App 4-Recyclables'!O26</f>
        <v>12759</v>
      </c>
      <c r="H27" s="80">
        <f>'App 4-Recyclables'!H26+'App 4-Recyclables'!L26+'App 4-Recyclables'!P26</f>
        <v>3042</v>
      </c>
      <c r="I27" s="80">
        <f>'App 5-Organics'!F26+'App 5-Organics'!J26+'App 5-Organics'!N26</f>
        <v>17446</v>
      </c>
      <c r="J27" s="80">
        <f>'App 5-Organics'!G26+'App 5-Organics'!K26+'App 5-Organics'!O26</f>
        <v>15809</v>
      </c>
      <c r="K27" s="80">
        <f>'App 5-Organics'!H26+'App 5-Organics'!L26+'App 5-Organics'!P26</f>
        <v>1637</v>
      </c>
      <c r="L27" s="212">
        <f>'App 6-Residual Waste'!F26+'App 6-Residual Waste'!P26+'App 6-Residual Waste'!W26</f>
        <v>38150</v>
      </c>
      <c r="M27" s="212">
        <f>'App 6-Residual Waste'!G26+'App 6-Residual Waste'!Q26+'App 6-Residual Waste'!X26</f>
        <v>0</v>
      </c>
      <c r="N27" s="212">
        <f>'App 6-Residual Waste'!H26+'App 6-Residual Waste'!R26+'App 6-Residual Waste'!Y26</f>
        <v>38150</v>
      </c>
      <c r="O27" s="211"/>
      <c r="P27" s="212">
        <f t="shared" si="0"/>
        <v>71397</v>
      </c>
      <c r="Q27" s="212">
        <f t="shared" si="1"/>
        <v>28568</v>
      </c>
      <c r="R27" s="212">
        <f t="shared" si="2"/>
        <v>42829</v>
      </c>
      <c r="S27" s="213">
        <f t="shared" si="3"/>
        <v>0.40012885695477401</v>
      </c>
      <c r="U27" s="406">
        <f>(P27*1000)/'App 1-Services'!G26/52</f>
        <v>8.4755319866247163</v>
      </c>
      <c r="V27" s="406">
        <f>(P27*1000)/'App 1-Services'!H26/52</f>
        <v>24.292196365408092</v>
      </c>
    </row>
    <row r="28" spans="1:22" ht="15.75" x14ac:dyDescent="0.25">
      <c r="A28" s="376">
        <v>11520</v>
      </c>
      <c r="B28" s="376" t="s">
        <v>159</v>
      </c>
      <c r="C28" s="376" t="s">
        <v>127</v>
      </c>
      <c r="D28" s="404" t="s">
        <v>4</v>
      </c>
      <c r="E28" s="79"/>
      <c r="F28" s="80">
        <f>'App 4-Recyclables'!F27+'App 4-Recyclables'!J27+'App 4-Recyclables'!N27</f>
        <v>8117.97</v>
      </c>
      <c r="G28" s="80">
        <f>'App 4-Recyclables'!G27+'App 4-Recyclables'!K27+'App 4-Recyclables'!O27</f>
        <v>7722.97</v>
      </c>
      <c r="H28" s="80">
        <f>'App 4-Recyclables'!H27+'App 4-Recyclables'!L27+'App 4-Recyclables'!P27</f>
        <v>395</v>
      </c>
      <c r="I28" s="80">
        <f>'App 5-Organics'!F27+'App 5-Organics'!J27+'App 5-Organics'!N27</f>
        <v>4977.8999999999996</v>
      </c>
      <c r="J28" s="80">
        <f>'App 5-Organics'!G27+'App 5-Organics'!K27+'App 5-Organics'!O27</f>
        <v>4977.8999999999996</v>
      </c>
      <c r="K28" s="80">
        <f>'App 5-Organics'!H27+'App 5-Organics'!L27+'App 5-Organics'!P27</f>
        <v>0</v>
      </c>
      <c r="L28" s="212">
        <f>'App 6-Residual Waste'!F27+'App 6-Residual Waste'!P27+'App 6-Residual Waste'!W27</f>
        <v>20752</v>
      </c>
      <c r="M28" s="212">
        <f>'App 6-Residual Waste'!G27+'App 6-Residual Waste'!Q27+'App 6-Residual Waste'!X27</f>
        <v>349</v>
      </c>
      <c r="N28" s="212">
        <f>'App 6-Residual Waste'!H27+'App 6-Residual Waste'!R27+'App 6-Residual Waste'!Y27</f>
        <v>20403</v>
      </c>
      <c r="O28" s="211"/>
      <c r="P28" s="212">
        <f t="shared" si="0"/>
        <v>33847.869999999995</v>
      </c>
      <c r="Q28" s="212">
        <f t="shared" si="1"/>
        <v>13049.869999999999</v>
      </c>
      <c r="R28" s="212">
        <f t="shared" si="2"/>
        <v>20798</v>
      </c>
      <c r="S28" s="213">
        <f t="shared" si="3"/>
        <v>0.38554479203565839</v>
      </c>
      <c r="U28" s="406">
        <f>(P28*1000)/'App 1-Services'!G27/52</f>
        <v>7.1982989253550027</v>
      </c>
      <c r="V28" s="406">
        <f>(P28*1000)/'App 1-Services'!H27/52</f>
        <v>18.611556496914186</v>
      </c>
    </row>
    <row r="29" spans="1:22" ht="15.75" x14ac:dyDescent="0.25">
      <c r="A29" s="376">
        <v>11570</v>
      </c>
      <c r="B29" s="376" t="s">
        <v>134</v>
      </c>
      <c r="C29" s="376" t="s">
        <v>127</v>
      </c>
      <c r="D29" s="404" t="s">
        <v>4</v>
      </c>
      <c r="E29" s="79"/>
      <c r="F29" s="80">
        <f>'App 4-Recyclables'!F28+'App 4-Recyclables'!J28+'App 4-Recyclables'!N28</f>
        <v>26247.08</v>
      </c>
      <c r="G29" s="80">
        <f>'App 4-Recyclables'!G28+'App 4-Recyclables'!K28+'App 4-Recyclables'!O28</f>
        <v>22315.920000000002</v>
      </c>
      <c r="H29" s="80">
        <f>'App 4-Recyclables'!H28+'App 4-Recyclables'!L28+'App 4-Recyclables'!P28</f>
        <v>3931.16</v>
      </c>
      <c r="I29" s="80">
        <f>'App 5-Organics'!F28+'App 5-Organics'!J28+'App 5-Organics'!N28</f>
        <v>30281.599999999999</v>
      </c>
      <c r="J29" s="80">
        <f>'App 5-Organics'!G28+'App 5-Organics'!K28+'App 5-Organics'!O28</f>
        <v>28768.6</v>
      </c>
      <c r="K29" s="80">
        <f>'App 5-Organics'!H28+'App 5-Organics'!L28+'App 5-Organics'!P28</f>
        <v>1513</v>
      </c>
      <c r="L29" s="212">
        <f>'App 6-Residual Waste'!F28+'App 6-Residual Waste'!P28+'App 6-Residual Waste'!W28</f>
        <v>90925.23</v>
      </c>
      <c r="M29" s="212">
        <f>'App 6-Residual Waste'!G28+'App 6-Residual Waste'!Q28+'App 6-Residual Waste'!X28</f>
        <v>3187.6699999999996</v>
      </c>
      <c r="N29" s="212">
        <f>'App 6-Residual Waste'!H28+'App 6-Residual Waste'!R28+'App 6-Residual Waste'!Y28</f>
        <v>87737.56</v>
      </c>
      <c r="O29" s="211"/>
      <c r="P29" s="212">
        <f t="shared" si="0"/>
        <v>147453.91</v>
      </c>
      <c r="Q29" s="212">
        <f t="shared" si="1"/>
        <v>54272.19</v>
      </c>
      <c r="R29" s="212">
        <f t="shared" si="2"/>
        <v>93181.72</v>
      </c>
      <c r="S29" s="213">
        <f t="shared" si="3"/>
        <v>0.36806206088397386</v>
      </c>
      <c r="U29" s="406">
        <f>(P29*1000)/'App 1-Services'!G28/52</f>
        <v>7.8840165467458183</v>
      </c>
      <c r="V29" s="406">
        <f>(P29*1000)/'App 1-Services'!H28/52</f>
        <v>24.80017592605051</v>
      </c>
    </row>
    <row r="30" spans="1:22" ht="15.75" x14ac:dyDescent="0.25">
      <c r="A30" s="376">
        <v>11600</v>
      </c>
      <c r="B30" s="376" t="s">
        <v>161</v>
      </c>
      <c r="C30" s="376" t="s">
        <v>705</v>
      </c>
      <c r="D30" s="404" t="s">
        <v>2</v>
      </c>
      <c r="E30" s="79"/>
      <c r="F30" s="80">
        <f>'App 4-Recyclables'!F29+'App 4-Recyclables'!J29+'App 4-Recyclables'!N29</f>
        <v>0</v>
      </c>
      <c r="G30" s="80">
        <f>'App 4-Recyclables'!G29+'App 4-Recyclables'!K29+'App 4-Recyclables'!O29</f>
        <v>0</v>
      </c>
      <c r="H30" s="80">
        <f>'App 4-Recyclables'!H29+'App 4-Recyclables'!L29+'App 4-Recyclables'!P29</f>
        <v>0</v>
      </c>
      <c r="I30" s="80">
        <f>'App 5-Organics'!F29+'App 5-Organics'!J29+'App 5-Organics'!N29</f>
        <v>0</v>
      </c>
      <c r="J30" s="80">
        <f>'App 5-Organics'!G29+'App 5-Organics'!K29+'App 5-Organics'!O29</f>
        <v>0</v>
      </c>
      <c r="K30" s="80">
        <f>'App 5-Organics'!H29+'App 5-Organics'!L29+'App 5-Organics'!P29</f>
        <v>0</v>
      </c>
      <c r="L30" s="212">
        <f>'App 6-Residual Waste'!F29+'App 6-Residual Waste'!P29+'App 6-Residual Waste'!W29</f>
        <v>1152.28</v>
      </c>
      <c r="M30" s="212">
        <f>'App 6-Residual Waste'!G29+'App 6-Residual Waste'!Q29+'App 6-Residual Waste'!X29</f>
        <v>0</v>
      </c>
      <c r="N30" s="212">
        <f>'App 6-Residual Waste'!H29+'App 6-Residual Waste'!R29+'App 6-Residual Waste'!Y29</f>
        <v>1152.28</v>
      </c>
      <c r="O30" s="211"/>
      <c r="P30" s="212">
        <f t="shared" si="0"/>
        <v>1152.28</v>
      </c>
      <c r="Q30" s="212">
        <f t="shared" si="1"/>
        <v>0</v>
      </c>
      <c r="R30" s="212">
        <f t="shared" si="2"/>
        <v>1152.28</v>
      </c>
      <c r="S30" s="213">
        <f t="shared" si="3"/>
        <v>0</v>
      </c>
      <c r="U30" s="406">
        <f>(P30*1000)/'App 1-Services'!G29/52</f>
        <v>8.0287068004459297</v>
      </c>
      <c r="V30" s="406">
        <f>(P30*1000)/'App 1-Services'!H29/52</f>
        <v>8.4448287992495317</v>
      </c>
    </row>
    <row r="31" spans="1:22" ht="15.75" x14ac:dyDescent="0.25">
      <c r="A31" s="376">
        <v>11650</v>
      </c>
      <c r="B31" s="376" t="s">
        <v>181</v>
      </c>
      <c r="C31" s="376" t="s">
        <v>163</v>
      </c>
      <c r="D31" s="404" t="s">
        <v>3</v>
      </c>
      <c r="E31" s="79"/>
      <c r="F31" s="80">
        <f>'App 4-Recyclables'!F30+'App 4-Recyclables'!J30+'App 4-Recyclables'!N30</f>
        <v>43138</v>
      </c>
      <c r="G31" s="80">
        <f>'App 4-Recyclables'!G30+'App 4-Recyclables'!K30+'App 4-Recyclables'!O30</f>
        <v>40035</v>
      </c>
      <c r="H31" s="80">
        <f>'App 4-Recyclables'!H30+'App 4-Recyclables'!L30+'App 4-Recyclables'!P30</f>
        <v>3103</v>
      </c>
      <c r="I31" s="80">
        <f>'App 5-Organics'!F30+'App 5-Organics'!J30+'App 5-Organics'!N30</f>
        <v>45110</v>
      </c>
      <c r="J31" s="80">
        <f>'App 5-Organics'!G30+'App 5-Organics'!K30+'App 5-Organics'!O30</f>
        <v>40794</v>
      </c>
      <c r="K31" s="80">
        <f>'App 5-Organics'!H30+'App 5-Organics'!L30+'App 5-Organics'!P30</f>
        <v>4316</v>
      </c>
      <c r="L31" s="212">
        <f>'App 6-Residual Waste'!F30+'App 6-Residual Waste'!P30+'App 6-Residual Waste'!W30</f>
        <v>106813</v>
      </c>
      <c r="M31" s="212">
        <f>'App 6-Residual Waste'!G30+'App 6-Residual Waste'!Q30+'App 6-Residual Waste'!X30</f>
        <v>3377</v>
      </c>
      <c r="N31" s="212">
        <f>'App 6-Residual Waste'!H30+'App 6-Residual Waste'!R30+'App 6-Residual Waste'!Y30</f>
        <v>103436</v>
      </c>
      <c r="O31" s="211"/>
      <c r="P31" s="212">
        <f t="shared" si="0"/>
        <v>195061</v>
      </c>
      <c r="Q31" s="212">
        <f t="shared" si="1"/>
        <v>84206</v>
      </c>
      <c r="R31" s="212">
        <f t="shared" si="2"/>
        <v>110855</v>
      </c>
      <c r="S31" s="213">
        <f t="shared" si="3"/>
        <v>0.43169059935097226</v>
      </c>
      <c r="U31" s="406">
        <f>(P31*1000)/'App 1-Services'!G30/52</f>
        <v>11.202313455962029</v>
      </c>
      <c r="V31" s="406">
        <f>(P31*1000)/'App 1-Services'!H30/52</f>
        <v>28.751451125731606</v>
      </c>
    </row>
    <row r="32" spans="1:22" ht="15.75" x14ac:dyDescent="0.25">
      <c r="A32" s="376">
        <v>11700</v>
      </c>
      <c r="B32" s="376" t="s">
        <v>162</v>
      </c>
      <c r="C32" s="376" t="s">
        <v>293</v>
      </c>
      <c r="D32" s="404" t="s">
        <v>2</v>
      </c>
      <c r="E32" s="79"/>
      <c r="F32" s="80">
        <f>'App 4-Recyclables'!F31+'App 4-Recyclables'!J31+'App 4-Recyclables'!N31</f>
        <v>0</v>
      </c>
      <c r="G32" s="80">
        <f>'App 4-Recyclables'!G31+'App 4-Recyclables'!K31+'App 4-Recyclables'!O31</f>
        <v>0</v>
      </c>
      <c r="H32" s="80">
        <f>'App 4-Recyclables'!H31+'App 4-Recyclables'!L31+'App 4-Recyclables'!P31</f>
        <v>0</v>
      </c>
      <c r="I32" s="80">
        <f>'App 5-Organics'!F31+'App 5-Organics'!J31+'App 5-Organics'!N31</f>
        <v>0</v>
      </c>
      <c r="J32" s="80">
        <f>'App 5-Organics'!G31+'App 5-Organics'!K31+'App 5-Organics'!O31</f>
        <v>0</v>
      </c>
      <c r="K32" s="80">
        <f>'App 5-Organics'!H31+'App 5-Organics'!L31+'App 5-Organics'!P31</f>
        <v>0</v>
      </c>
      <c r="L32" s="212">
        <f>'App 6-Residual Waste'!F31+'App 6-Residual Waste'!P31+'App 6-Residual Waste'!W31</f>
        <v>480</v>
      </c>
      <c r="M32" s="212">
        <f>'App 6-Residual Waste'!G31+'App 6-Residual Waste'!Q31+'App 6-Residual Waste'!X31</f>
        <v>0</v>
      </c>
      <c r="N32" s="212">
        <f>'App 6-Residual Waste'!H31+'App 6-Residual Waste'!R31+'App 6-Residual Waste'!Y31</f>
        <v>480</v>
      </c>
      <c r="O32" s="211"/>
      <c r="P32" s="212">
        <f t="shared" si="0"/>
        <v>480</v>
      </c>
      <c r="Q32" s="212">
        <f t="shared" si="1"/>
        <v>0</v>
      </c>
      <c r="R32" s="212">
        <f t="shared" si="2"/>
        <v>480</v>
      </c>
      <c r="S32" s="213">
        <f t="shared" si="3"/>
        <v>0</v>
      </c>
      <c r="U32" s="406">
        <f>(P32*1000)/'App 1-Services'!G31/52</f>
        <v>4.4593088071348941</v>
      </c>
      <c r="V32" s="406">
        <f>(P32*1000)/'App 1-Services'!H31/52</f>
        <v>6.6938138004127845</v>
      </c>
    </row>
    <row r="33" spans="1:22" ht="15.75" x14ac:dyDescent="0.25">
      <c r="A33" s="376">
        <v>11720</v>
      </c>
      <c r="B33" s="376" t="s">
        <v>164</v>
      </c>
      <c r="C33" s="376" t="s">
        <v>163</v>
      </c>
      <c r="D33" s="404" t="s">
        <v>3</v>
      </c>
      <c r="E33" s="79"/>
      <c r="F33" s="80">
        <f>'App 4-Recyclables'!F32+'App 4-Recyclables'!J32+'App 4-Recyclables'!N32</f>
        <v>6631.3899999999994</v>
      </c>
      <c r="G33" s="80">
        <f>'App 4-Recyclables'!G32+'App 4-Recyclables'!K32+'App 4-Recyclables'!O32</f>
        <v>6524.76</v>
      </c>
      <c r="H33" s="80">
        <f>'App 4-Recyclables'!H32+'App 4-Recyclables'!L32+'App 4-Recyclables'!P32</f>
        <v>106.63</v>
      </c>
      <c r="I33" s="80">
        <f>'App 5-Organics'!F32+'App 5-Organics'!J32+'App 5-Organics'!N32</f>
        <v>3667.08</v>
      </c>
      <c r="J33" s="80">
        <f>'App 5-Organics'!G32+'App 5-Organics'!K32+'App 5-Organics'!O32</f>
        <v>3663.96</v>
      </c>
      <c r="K33" s="80">
        <f>'App 5-Organics'!H32+'App 5-Organics'!L32+'App 5-Organics'!P32</f>
        <v>3.12</v>
      </c>
      <c r="L33" s="212">
        <f>'App 6-Residual Waste'!F32+'App 6-Residual Waste'!P32+'App 6-Residual Waste'!W32</f>
        <v>26054.28</v>
      </c>
      <c r="M33" s="212">
        <f>'App 6-Residual Waste'!G32+'App 6-Residual Waste'!Q32+'App 6-Residual Waste'!X32</f>
        <v>56.35</v>
      </c>
      <c r="N33" s="212">
        <f>'App 6-Residual Waste'!H32+'App 6-Residual Waste'!R32+'App 6-Residual Waste'!Y32</f>
        <v>25997.93</v>
      </c>
      <c r="O33" s="211"/>
      <c r="P33" s="212">
        <f t="shared" si="0"/>
        <v>36352.75</v>
      </c>
      <c r="Q33" s="212">
        <f t="shared" si="1"/>
        <v>10245.070000000002</v>
      </c>
      <c r="R33" s="212">
        <f t="shared" si="2"/>
        <v>26107.68</v>
      </c>
      <c r="S33" s="213">
        <f t="shared" si="3"/>
        <v>0.28182379599892721</v>
      </c>
      <c r="U33" s="406">
        <f>(P33*1000)/'App 1-Services'!G32/52</f>
        <v>12.366294243151598</v>
      </c>
      <c r="V33" s="406">
        <f>(P33*1000)/'App 1-Services'!H32/52</f>
        <v>28.895236263282058</v>
      </c>
    </row>
    <row r="34" spans="1:22" ht="15.75" x14ac:dyDescent="0.25">
      <c r="A34" s="376">
        <v>11730</v>
      </c>
      <c r="B34" s="376" t="s">
        <v>165</v>
      </c>
      <c r="C34" s="376" t="s">
        <v>131</v>
      </c>
      <c r="D34" s="404" t="s">
        <v>5</v>
      </c>
      <c r="E34" s="79"/>
      <c r="F34" s="80">
        <f>'App 4-Recyclables'!F33+'App 4-Recyclables'!J33+'App 4-Recyclables'!N33</f>
        <v>9849</v>
      </c>
      <c r="G34" s="80">
        <f>'App 4-Recyclables'!G33+'App 4-Recyclables'!K33+'App 4-Recyclables'!O33</f>
        <v>9647</v>
      </c>
      <c r="H34" s="80">
        <f>'App 4-Recyclables'!H33+'App 4-Recyclables'!L33+'App 4-Recyclables'!P33</f>
        <v>202</v>
      </c>
      <c r="I34" s="80">
        <f>'App 5-Organics'!F33+'App 5-Organics'!J33+'App 5-Organics'!N33</f>
        <v>10324</v>
      </c>
      <c r="J34" s="80">
        <f>'App 5-Organics'!G33+'App 5-Organics'!K33+'App 5-Organics'!O33</f>
        <v>10283</v>
      </c>
      <c r="K34" s="80">
        <f>'App 5-Organics'!H33+'App 5-Organics'!L33+'App 5-Organics'!P33</f>
        <v>41</v>
      </c>
      <c r="L34" s="212">
        <f>'App 6-Residual Waste'!F33+'App 6-Residual Waste'!P33+'App 6-Residual Waste'!W33</f>
        <v>11802</v>
      </c>
      <c r="M34" s="212">
        <f>'App 6-Residual Waste'!G33+'App 6-Residual Waste'!Q33+'App 6-Residual Waste'!X33</f>
        <v>277</v>
      </c>
      <c r="N34" s="212">
        <f>'App 6-Residual Waste'!H33+'App 6-Residual Waste'!R33+'App 6-Residual Waste'!Y33</f>
        <v>11525</v>
      </c>
      <c r="O34" s="211"/>
      <c r="P34" s="212">
        <f t="shared" si="0"/>
        <v>31975</v>
      </c>
      <c r="Q34" s="212">
        <f t="shared" si="1"/>
        <v>20207</v>
      </c>
      <c r="R34" s="212">
        <f t="shared" si="2"/>
        <v>11768</v>
      </c>
      <c r="S34" s="213">
        <f t="shared" si="3"/>
        <v>0.63196247068021894</v>
      </c>
      <c r="U34" s="406">
        <f>(P34*1000)/'App 1-Services'!G33/52</f>
        <v>12.007261060198905</v>
      </c>
      <c r="V34" s="406">
        <f>(P34*1000)/'App 1-Services'!H33/52</f>
        <v>26.004560862464949</v>
      </c>
    </row>
    <row r="35" spans="1:22" ht="15.75" x14ac:dyDescent="0.25">
      <c r="A35" s="376">
        <v>11750</v>
      </c>
      <c r="B35" s="376" t="s">
        <v>166</v>
      </c>
      <c r="C35" s="376" t="s">
        <v>293</v>
      </c>
      <c r="D35" s="404" t="s">
        <v>2</v>
      </c>
      <c r="E35" s="79"/>
      <c r="F35" s="80">
        <f>'App 4-Recyclables'!F34+'App 4-Recyclables'!J34+'App 4-Recyclables'!N34</f>
        <v>0</v>
      </c>
      <c r="G35" s="80">
        <f>'App 4-Recyclables'!G34+'App 4-Recyclables'!K34+'App 4-Recyclables'!O34</f>
        <v>0</v>
      </c>
      <c r="H35" s="80">
        <f>'App 4-Recyclables'!H34+'App 4-Recyclables'!L34+'App 4-Recyclables'!P34</f>
        <v>0</v>
      </c>
      <c r="I35" s="80">
        <f>'App 5-Organics'!F34+'App 5-Organics'!J34+'App 5-Organics'!N34</f>
        <v>0</v>
      </c>
      <c r="J35" s="80">
        <f>'App 5-Organics'!G34+'App 5-Organics'!K34+'App 5-Organics'!O34</f>
        <v>0</v>
      </c>
      <c r="K35" s="80">
        <f>'App 5-Organics'!H34+'App 5-Organics'!L34+'App 5-Organics'!P34</f>
        <v>0</v>
      </c>
      <c r="L35" s="212">
        <f>'App 6-Residual Waste'!F34+'App 6-Residual Waste'!P34+'App 6-Residual Waste'!W34</f>
        <v>1464.2</v>
      </c>
      <c r="M35" s="212">
        <f>'App 6-Residual Waste'!G34+'App 6-Residual Waste'!Q34+'App 6-Residual Waste'!X34</f>
        <v>0</v>
      </c>
      <c r="N35" s="212">
        <f>'App 6-Residual Waste'!H34+'App 6-Residual Waste'!R34+'App 6-Residual Waste'!Y34</f>
        <v>1464.2</v>
      </c>
      <c r="O35" s="211"/>
      <c r="P35" s="212">
        <f t="shared" si="0"/>
        <v>1464.2</v>
      </c>
      <c r="Q35" s="212">
        <f t="shared" si="1"/>
        <v>0</v>
      </c>
      <c r="R35" s="212">
        <f t="shared" si="2"/>
        <v>1464.2</v>
      </c>
      <c r="S35" s="213">
        <f t="shared" si="3"/>
        <v>0</v>
      </c>
      <c r="U35" s="406">
        <f>(P35*1000)/'App 1-Services'!G34/52</f>
        <v>5.6439551628968347</v>
      </c>
      <c r="V35" s="406">
        <f>(P35*1000)/'App 1-Services'!H34/52</f>
        <v>10.463653774690565</v>
      </c>
    </row>
    <row r="36" spans="1:22" ht="15.75" x14ac:dyDescent="0.25">
      <c r="A36" s="376">
        <v>11800</v>
      </c>
      <c r="B36" s="376" t="s">
        <v>167</v>
      </c>
      <c r="C36" s="376" t="s">
        <v>294</v>
      </c>
      <c r="D36" s="404" t="s">
        <v>5</v>
      </c>
      <c r="E36" s="79"/>
      <c r="F36" s="80">
        <f>'App 4-Recyclables'!F35+'App 4-Recyclables'!J35+'App 4-Recyclables'!N35</f>
        <v>9194.89</v>
      </c>
      <c r="G36" s="80">
        <f>'App 4-Recyclables'!G35+'App 4-Recyclables'!K35+'App 4-Recyclables'!O35</f>
        <v>7929.15</v>
      </c>
      <c r="H36" s="80">
        <f>'App 4-Recyclables'!H35+'App 4-Recyclables'!L35+'App 4-Recyclables'!P35</f>
        <v>1265.74</v>
      </c>
      <c r="I36" s="80">
        <f>'App 5-Organics'!F35+'App 5-Organics'!J35+'App 5-Organics'!N35</f>
        <v>13028.65</v>
      </c>
      <c r="J36" s="80">
        <f>'App 5-Organics'!G35+'App 5-Organics'!K35+'App 5-Organics'!O35</f>
        <v>12274.21</v>
      </c>
      <c r="K36" s="80">
        <f>'App 5-Organics'!H35+'App 5-Organics'!L35+'App 5-Organics'!P35</f>
        <v>754.44</v>
      </c>
      <c r="L36" s="212">
        <f>'App 6-Residual Waste'!F35+'App 6-Residual Waste'!P35+'App 6-Residual Waste'!W35</f>
        <v>19146.600000000002</v>
      </c>
      <c r="M36" s="212">
        <f>'App 6-Residual Waste'!G35+'App 6-Residual Waste'!Q35+'App 6-Residual Waste'!X35</f>
        <v>909.99999999999989</v>
      </c>
      <c r="N36" s="212">
        <f>'App 6-Residual Waste'!H35+'App 6-Residual Waste'!R35+'App 6-Residual Waste'!Y35</f>
        <v>18236.600000000002</v>
      </c>
      <c r="O36" s="211"/>
      <c r="P36" s="212">
        <f t="shared" si="0"/>
        <v>41370.14</v>
      </c>
      <c r="Q36" s="212">
        <f t="shared" si="1"/>
        <v>21113.360000000001</v>
      </c>
      <c r="R36" s="212">
        <f t="shared" si="2"/>
        <v>20256.780000000002</v>
      </c>
      <c r="S36" s="213">
        <f t="shared" si="3"/>
        <v>0.51035263598334457</v>
      </c>
      <c r="U36" s="406">
        <f>(P36*1000)/'App 1-Services'!G35/52</f>
        <v>10.766789576471275</v>
      </c>
      <c r="V36" s="406">
        <f>(P36*1000)/'App 1-Services'!H35/52</f>
        <v>27.134366145450731</v>
      </c>
    </row>
    <row r="37" spans="1:22" ht="15.75" x14ac:dyDescent="0.25">
      <c r="A37" s="376">
        <v>12000</v>
      </c>
      <c r="B37" s="376" t="s">
        <v>169</v>
      </c>
      <c r="C37" s="376" t="s">
        <v>142</v>
      </c>
      <c r="D37" s="404" t="s">
        <v>2</v>
      </c>
      <c r="E37" s="79"/>
      <c r="F37" s="80">
        <f>'App 4-Recyclables'!F36+'App 4-Recyclables'!J36+'App 4-Recyclables'!N36</f>
        <v>316</v>
      </c>
      <c r="G37" s="80">
        <f>'App 4-Recyclables'!G36+'App 4-Recyclables'!K36+'App 4-Recyclables'!O36</f>
        <v>302.85000000000002</v>
      </c>
      <c r="H37" s="80">
        <f>'App 4-Recyclables'!H36+'App 4-Recyclables'!L36+'App 4-Recyclables'!P36</f>
        <v>13.15</v>
      </c>
      <c r="I37" s="80">
        <f>'App 5-Organics'!F36+'App 5-Organics'!J36+'App 5-Organics'!N36</f>
        <v>320</v>
      </c>
      <c r="J37" s="80">
        <f>'App 5-Organics'!G36+'App 5-Organics'!K36+'App 5-Organics'!O36</f>
        <v>320</v>
      </c>
      <c r="K37" s="80">
        <f>'App 5-Organics'!H36+'App 5-Organics'!L36+'App 5-Organics'!P36</f>
        <v>0</v>
      </c>
      <c r="L37" s="212">
        <f>'App 6-Residual Waste'!F36+'App 6-Residual Waste'!P36+'App 6-Residual Waste'!W36</f>
        <v>826</v>
      </c>
      <c r="M37" s="212">
        <f>'App 6-Residual Waste'!G36+'App 6-Residual Waste'!Q36+'App 6-Residual Waste'!X36</f>
        <v>110</v>
      </c>
      <c r="N37" s="212">
        <f>'App 6-Residual Waste'!H36+'App 6-Residual Waste'!R36+'App 6-Residual Waste'!Y36</f>
        <v>716</v>
      </c>
      <c r="O37" s="211"/>
      <c r="P37" s="212">
        <f t="shared" si="0"/>
        <v>1462</v>
      </c>
      <c r="Q37" s="212">
        <f t="shared" si="1"/>
        <v>732.85</v>
      </c>
      <c r="R37" s="212">
        <f t="shared" si="2"/>
        <v>729.15</v>
      </c>
      <c r="S37" s="213">
        <f t="shared" si="3"/>
        <v>0.50126538987688096</v>
      </c>
      <c r="U37" s="406">
        <f>(P37*1000)/'App 1-Services'!G36/52</f>
        <v>6.3623861994534092</v>
      </c>
      <c r="V37" s="406">
        <f>(P37*1000)/'App 1-Services'!H36/52</f>
        <v>13.91850723533892</v>
      </c>
    </row>
    <row r="38" spans="1:22" ht="15.75" x14ac:dyDescent="0.25">
      <c r="A38" s="376">
        <v>12150</v>
      </c>
      <c r="B38" s="376" t="s">
        <v>170</v>
      </c>
      <c r="C38" s="376" t="s">
        <v>293</v>
      </c>
      <c r="D38" s="404" t="s">
        <v>2</v>
      </c>
      <c r="E38" s="79"/>
      <c r="F38" s="80">
        <f>'App 4-Recyclables'!F37+'App 4-Recyclables'!J37+'App 4-Recyclables'!N37</f>
        <v>0</v>
      </c>
      <c r="G38" s="80">
        <f>'App 4-Recyclables'!G37+'App 4-Recyclables'!K37+'App 4-Recyclables'!O37</f>
        <v>0</v>
      </c>
      <c r="H38" s="80">
        <f>'App 4-Recyclables'!H37+'App 4-Recyclables'!L37+'App 4-Recyclables'!P37</f>
        <v>0</v>
      </c>
      <c r="I38" s="80">
        <f>'App 5-Organics'!F37+'App 5-Organics'!J37+'App 5-Organics'!N37</f>
        <v>0</v>
      </c>
      <c r="J38" s="80">
        <f>'App 5-Organics'!G37+'App 5-Organics'!K37+'App 5-Organics'!O37</f>
        <v>0</v>
      </c>
      <c r="K38" s="80">
        <f>'App 5-Organics'!H37+'App 5-Organics'!L37+'App 5-Organics'!P37</f>
        <v>0</v>
      </c>
      <c r="L38" s="212">
        <f>'App 6-Residual Waste'!F37+'App 6-Residual Waste'!P37+'App 6-Residual Waste'!W37</f>
        <v>2300</v>
      </c>
      <c r="M38" s="212">
        <f>'App 6-Residual Waste'!G37+'App 6-Residual Waste'!Q37+'App 6-Residual Waste'!X37</f>
        <v>0</v>
      </c>
      <c r="N38" s="212">
        <f>'App 6-Residual Waste'!H37+'App 6-Residual Waste'!R37+'App 6-Residual Waste'!Y37</f>
        <v>2300</v>
      </c>
      <c r="O38" s="211"/>
      <c r="P38" s="212">
        <f t="shared" ref="P38:P69" si="4">F38+I38+L38</f>
        <v>2300</v>
      </c>
      <c r="Q38" s="212">
        <f t="shared" ref="Q38:Q69" si="5">G38+J38+M38</f>
        <v>0</v>
      </c>
      <c r="R38" s="212">
        <f t="shared" ref="R38:R69" si="6">H38+K38+N38</f>
        <v>2300</v>
      </c>
      <c r="S38" s="213">
        <f t="shared" ref="S38:S69" si="7">Q38/P38</f>
        <v>0</v>
      </c>
      <c r="U38" s="406">
        <f>(P38*1000)/'App 1-Services'!G37/52</f>
        <v>10.561310704577181</v>
      </c>
      <c r="V38" s="406">
        <f>(P38*1000)/'App 1-Services'!H37/52</f>
        <v>28.04741232135018</v>
      </c>
    </row>
    <row r="39" spans="1:22" ht="15.75" x14ac:dyDescent="0.25">
      <c r="A39" s="376">
        <v>12350</v>
      </c>
      <c r="B39" s="376" t="s">
        <v>172</v>
      </c>
      <c r="C39" s="376" t="s">
        <v>293</v>
      </c>
      <c r="D39" s="404" t="s">
        <v>2</v>
      </c>
      <c r="E39" s="79"/>
      <c r="F39" s="80">
        <f>'App 4-Recyclables'!F38+'App 4-Recyclables'!J38+'App 4-Recyclables'!N38</f>
        <v>988.19</v>
      </c>
      <c r="G39" s="80">
        <f>'App 4-Recyclables'!G38+'App 4-Recyclables'!K38+'App 4-Recyclables'!O38</f>
        <v>983.07</v>
      </c>
      <c r="H39" s="80">
        <f>'App 4-Recyclables'!H38+'App 4-Recyclables'!L38+'App 4-Recyclables'!P38</f>
        <v>5.12</v>
      </c>
      <c r="I39" s="80">
        <f>'App 5-Organics'!F38+'App 5-Organics'!J38+'App 5-Organics'!N38</f>
        <v>8.7100000000000009</v>
      </c>
      <c r="J39" s="80">
        <f>'App 5-Organics'!G38+'App 5-Organics'!K38+'App 5-Organics'!O38</f>
        <v>0</v>
      </c>
      <c r="K39" s="80">
        <f>'App 5-Organics'!H38+'App 5-Organics'!L38+'App 5-Organics'!P38</f>
        <v>8.7100000000000009</v>
      </c>
      <c r="L39" s="212">
        <f>'App 6-Residual Waste'!F38+'App 6-Residual Waste'!P38+'App 6-Residual Waste'!W38</f>
        <v>3066.27</v>
      </c>
      <c r="M39" s="212">
        <f>'App 6-Residual Waste'!G38+'App 6-Residual Waste'!Q38+'App 6-Residual Waste'!X38</f>
        <v>0</v>
      </c>
      <c r="N39" s="212">
        <f>'App 6-Residual Waste'!H38+'App 6-Residual Waste'!R38+'App 6-Residual Waste'!Y38</f>
        <v>3066.27</v>
      </c>
      <c r="O39" s="211"/>
      <c r="P39" s="212">
        <f t="shared" si="4"/>
        <v>4063.17</v>
      </c>
      <c r="Q39" s="212">
        <f t="shared" si="5"/>
        <v>983.07</v>
      </c>
      <c r="R39" s="212">
        <f t="shared" si="6"/>
        <v>3080.1</v>
      </c>
      <c r="S39" s="213">
        <f t="shared" si="7"/>
        <v>0.24194655896750566</v>
      </c>
      <c r="U39" s="406">
        <f>(P39*1000)/'App 1-Services'!G38/52</f>
        <v>6.2375576447181782</v>
      </c>
      <c r="V39" s="406">
        <f>(P39*1000)/'App 1-Services'!H38/52</f>
        <v>17.872343233162081</v>
      </c>
    </row>
    <row r="40" spans="1:22" ht="15.75" x14ac:dyDescent="0.25">
      <c r="A40" s="376">
        <v>12380</v>
      </c>
      <c r="B40" s="376" t="s">
        <v>130</v>
      </c>
      <c r="C40" s="376" t="s">
        <v>129</v>
      </c>
      <c r="D40" s="404" t="s">
        <v>4</v>
      </c>
      <c r="E40" s="79"/>
      <c r="F40" s="80">
        <f>'App 4-Recyclables'!F39+'App 4-Recyclables'!J39+'App 4-Recyclables'!N39</f>
        <v>11573.9</v>
      </c>
      <c r="G40" s="80">
        <f>'App 4-Recyclables'!G39+'App 4-Recyclables'!K39+'App 4-Recyclables'!O39</f>
        <v>10275.779999999999</v>
      </c>
      <c r="H40" s="80">
        <f>'App 4-Recyclables'!H39+'App 4-Recyclables'!L39+'App 4-Recyclables'!P39</f>
        <v>1298.1199999999999</v>
      </c>
      <c r="I40" s="80">
        <f>'App 5-Organics'!F39+'App 5-Organics'!J39+'App 5-Organics'!N39</f>
        <v>4713</v>
      </c>
      <c r="J40" s="80">
        <f>'App 5-Organics'!G39+'App 5-Organics'!K39+'App 5-Organics'!O39</f>
        <v>4713</v>
      </c>
      <c r="K40" s="80">
        <f>'App 5-Organics'!H39+'App 5-Organics'!L39+'App 5-Organics'!P39</f>
        <v>0</v>
      </c>
      <c r="L40" s="212">
        <f>'App 6-Residual Waste'!F39+'App 6-Residual Waste'!P39+'App 6-Residual Waste'!W39</f>
        <v>63715.81</v>
      </c>
      <c r="M40" s="212">
        <f>'App 6-Residual Waste'!G39+'App 6-Residual Waste'!Q39+'App 6-Residual Waste'!X39</f>
        <v>25395.81</v>
      </c>
      <c r="N40" s="212">
        <f>'App 6-Residual Waste'!H39+'App 6-Residual Waste'!R39+'App 6-Residual Waste'!Y39</f>
        <v>38320</v>
      </c>
      <c r="O40" s="211"/>
      <c r="P40" s="212">
        <f t="shared" si="4"/>
        <v>80002.709999999992</v>
      </c>
      <c r="Q40" s="212">
        <f t="shared" si="5"/>
        <v>40384.589999999997</v>
      </c>
      <c r="R40" s="212">
        <f t="shared" si="6"/>
        <v>39618.120000000003</v>
      </c>
      <c r="S40" s="213">
        <f t="shared" si="7"/>
        <v>0.50479027522942665</v>
      </c>
      <c r="U40" s="406">
        <f>(P40*1000)/'App 1-Services'!G39/52</f>
        <v>6.9066594862862543</v>
      </c>
      <c r="V40" s="406">
        <f>(P40*1000)/'App 1-Services'!H39/52</f>
        <v>21.344825175795357</v>
      </c>
    </row>
    <row r="41" spans="1:22" ht="15.75" x14ac:dyDescent="0.25">
      <c r="A41" s="376">
        <v>12700</v>
      </c>
      <c r="B41" s="376" t="s">
        <v>174</v>
      </c>
      <c r="C41" s="376" t="s">
        <v>163</v>
      </c>
      <c r="D41" s="404" t="s">
        <v>5</v>
      </c>
      <c r="E41" s="79"/>
      <c r="F41" s="80">
        <f>'App 4-Recyclables'!F40+'App 4-Recyclables'!J40+'App 4-Recyclables'!N40</f>
        <v>1744.68</v>
      </c>
      <c r="G41" s="80">
        <f>'App 4-Recyclables'!G40+'App 4-Recyclables'!K40+'App 4-Recyclables'!O40</f>
        <v>1693.31</v>
      </c>
      <c r="H41" s="80">
        <f>'App 4-Recyclables'!H40+'App 4-Recyclables'!L40+'App 4-Recyclables'!P40</f>
        <v>51.37</v>
      </c>
      <c r="I41" s="80">
        <f>'App 5-Organics'!F40+'App 5-Organics'!J40+'App 5-Organics'!N40</f>
        <v>260.57</v>
      </c>
      <c r="J41" s="80">
        <f>'App 5-Organics'!G40+'App 5-Organics'!K40+'App 5-Organics'!O40</f>
        <v>260.57</v>
      </c>
      <c r="K41" s="80">
        <f>'App 5-Organics'!H40+'App 5-Organics'!L40+'App 5-Organics'!P40</f>
        <v>0</v>
      </c>
      <c r="L41" s="212">
        <f>'App 6-Residual Waste'!F40+'App 6-Residual Waste'!P40+'App 6-Residual Waste'!W40</f>
        <v>2898.76</v>
      </c>
      <c r="M41" s="212">
        <f>'App 6-Residual Waste'!G40+'App 6-Residual Waste'!Q40+'App 6-Residual Waste'!X40</f>
        <v>9.1799999999999731</v>
      </c>
      <c r="N41" s="212">
        <f>'App 6-Residual Waste'!H40+'App 6-Residual Waste'!R40+'App 6-Residual Waste'!Y40</f>
        <v>2889.5800000000004</v>
      </c>
      <c r="O41" s="211"/>
      <c r="P41" s="212">
        <f t="shared" si="4"/>
        <v>4904.01</v>
      </c>
      <c r="Q41" s="212">
        <f t="shared" si="5"/>
        <v>1963.06</v>
      </c>
      <c r="R41" s="212">
        <f t="shared" si="6"/>
        <v>2940.9500000000003</v>
      </c>
      <c r="S41" s="213">
        <f t="shared" si="7"/>
        <v>0.40029689988397249</v>
      </c>
      <c r="U41" s="406">
        <f>(P41*1000)/'App 1-Services'!G40/52</f>
        <v>10.115615640393072</v>
      </c>
      <c r="V41" s="406">
        <f>(P41*1000)/'App 1-Services'!H40/52</f>
        <v>17.851199056480148</v>
      </c>
    </row>
    <row r="42" spans="1:22" ht="15.75" x14ac:dyDescent="0.25">
      <c r="A42" s="376">
        <v>12730</v>
      </c>
      <c r="B42" s="376" t="s">
        <v>168</v>
      </c>
      <c r="C42" s="376" t="s">
        <v>703</v>
      </c>
      <c r="D42" s="404" t="s">
        <v>2</v>
      </c>
      <c r="E42" s="79"/>
      <c r="F42" s="80">
        <f>'App 4-Recyclables'!F41+'App 4-Recyclables'!J41+'App 4-Recyclables'!N41</f>
        <v>398.75</v>
      </c>
      <c r="G42" s="80">
        <f>'App 4-Recyclables'!G41+'App 4-Recyclables'!K41+'App 4-Recyclables'!O41</f>
        <v>352.18</v>
      </c>
      <c r="H42" s="80">
        <f>'App 4-Recyclables'!H41+'App 4-Recyclables'!L41+'App 4-Recyclables'!P41</f>
        <v>46.57</v>
      </c>
      <c r="I42" s="80">
        <f>'App 5-Organics'!F41+'App 5-Organics'!J41+'App 5-Organics'!N41</f>
        <v>786.01</v>
      </c>
      <c r="J42" s="80">
        <f>'App 5-Organics'!G41+'App 5-Organics'!K41+'App 5-Organics'!O41</f>
        <v>776.42</v>
      </c>
      <c r="K42" s="80">
        <f>'App 5-Organics'!H41+'App 5-Organics'!L41+'App 5-Organics'!P41</f>
        <v>9.59</v>
      </c>
      <c r="L42" s="212">
        <f>'App 6-Residual Waste'!F41+'App 6-Residual Waste'!P41+'App 6-Residual Waste'!W41</f>
        <v>3566.26</v>
      </c>
      <c r="M42" s="212">
        <f>'App 6-Residual Waste'!G41+'App 6-Residual Waste'!Q41+'App 6-Residual Waste'!X41</f>
        <v>1</v>
      </c>
      <c r="N42" s="212">
        <f>'App 6-Residual Waste'!H41+'App 6-Residual Waste'!R41+'App 6-Residual Waste'!Y41</f>
        <v>3565.26</v>
      </c>
      <c r="O42" s="211"/>
      <c r="P42" s="212">
        <f t="shared" si="4"/>
        <v>4751.0200000000004</v>
      </c>
      <c r="Q42" s="212">
        <f t="shared" si="5"/>
        <v>1129.5999999999999</v>
      </c>
      <c r="R42" s="212">
        <f t="shared" si="6"/>
        <v>3621.42</v>
      </c>
      <c r="S42" s="213">
        <f t="shared" si="7"/>
        <v>0.23775947059789262</v>
      </c>
      <c r="U42" s="406">
        <f>(P42*1000)/'App 1-Services'!G41/52</f>
        <v>10.293574721808161</v>
      </c>
      <c r="V42" s="406">
        <f>(P42*1000)/'App 1-Services'!H41/52</f>
        <v>26.903936758177039</v>
      </c>
    </row>
    <row r="43" spans="1:22" ht="15.75" x14ac:dyDescent="0.25">
      <c r="A43" s="376">
        <v>12750</v>
      </c>
      <c r="B43" s="376" t="s">
        <v>175</v>
      </c>
      <c r="C43" s="376" t="s">
        <v>704</v>
      </c>
      <c r="D43" s="404" t="s">
        <v>2</v>
      </c>
      <c r="E43" s="79"/>
      <c r="F43" s="80">
        <f>'App 4-Recyclables'!F42+'App 4-Recyclables'!J42+'App 4-Recyclables'!N42</f>
        <v>7099.07</v>
      </c>
      <c r="G43" s="80">
        <f>'App 4-Recyclables'!G42+'App 4-Recyclables'!K42+'App 4-Recyclables'!O42</f>
        <v>6673.07</v>
      </c>
      <c r="H43" s="80">
        <f>'App 4-Recyclables'!H42+'App 4-Recyclables'!L42+'App 4-Recyclables'!P42</f>
        <v>426</v>
      </c>
      <c r="I43" s="80">
        <f>'App 5-Organics'!F42+'App 5-Organics'!J42+'App 5-Organics'!N42</f>
        <v>7655</v>
      </c>
      <c r="J43" s="80">
        <f>'App 5-Organics'!G42+'App 5-Organics'!K42+'App 5-Organics'!O42</f>
        <v>7649</v>
      </c>
      <c r="K43" s="80">
        <f>'App 5-Organics'!H42+'App 5-Organics'!L42+'App 5-Organics'!P42</f>
        <v>6</v>
      </c>
      <c r="L43" s="212">
        <f>'App 6-Residual Waste'!F42+'App 6-Residual Waste'!P42+'App 6-Residual Waste'!W42</f>
        <v>9429.67</v>
      </c>
      <c r="M43" s="212">
        <f>'App 6-Residual Waste'!G42+'App 6-Residual Waste'!Q42+'App 6-Residual Waste'!X42</f>
        <v>117</v>
      </c>
      <c r="N43" s="212">
        <f>'App 6-Residual Waste'!H42+'App 6-Residual Waste'!R42+'App 6-Residual Waste'!Y42</f>
        <v>9312.67</v>
      </c>
      <c r="O43" s="211"/>
      <c r="P43" s="212">
        <f t="shared" si="4"/>
        <v>24183.739999999998</v>
      </c>
      <c r="Q43" s="212">
        <f t="shared" si="5"/>
        <v>14439.07</v>
      </c>
      <c r="R43" s="212">
        <f t="shared" si="6"/>
        <v>9744.67</v>
      </c>
      <c r="S43" s="213">
        <f t="shared" si="7"/>
        <v>0.59705694818088517</v>
      </c>
      <c r="U43" s="406">
        <f>(P43*1000)/'App 1-Services'!G42/52</f>
        <v>12.200527901490675</v>
      </c>
      <c r="V43" s="406">
        <f>(P43*1000)/'App 1-Services'!H42/52</f>
        <v>19.743246861815376</v>
      </c>
    </row>
    <row r="44" spans="1:22" ht="15.75" x14ac:dyDescent="0.25">
      <c r="A44" s="376">
        <v>12850</v>
      </c>
      <c r="B44" s="376" t="s">
        <v>176</v>
      </c>
      <c r="C44" s="376" t="s">
        <v>129</v>
      </c>
      <c r="D44" s="404" t="s">
        <v>4</v>
      </c>
      <c r="E44" s="79"/>
      <c r="F44" s="80">
        <f>'App 4-Recyclables'!F43+'App 4-Recyclables'!J43+'App 4-Recyclables'!N43</f>
        <v>11954.83</v>
      </c>
      <c r="G44" s="80">
        <f>'App 4-Recyclables'!G43+'App 4-Recyclables'!K43+'App 4-Recyclables'!O43</f>
        <v>9727.83</v>
      </c>
      <c r="H44" s="80">
        <f>'App 4-Recyclables'!H43+'App 4-Recyclables'!L43+'App 4-Recyclables'!P43</f>
        <v>2227</v>
      </c>
      <c r="I44" s="80">
        <f>'App 5-Organics'!F43+'App 5-Organics'!J43+'App 5-Organics'!N43</f>
        <v>650</v>
      </c>
      <c r="J44" s="80">
        <f>'App 5-Organics'!G43+'App 5-Organics'!K43+'App 5-Organics'!O43</f>
        <v>231</v>
      </c>
      <c r="K44" s="80">
        <f>'App 5-Organics'!H43+'App 5-Organics'!L43+'App 5-Organics'!P43</f>
        <v>419</v>
      </c>
      <c r="L44" s="212">
        <f>'App 6-Residual Waste'!F43+'App 6-Residual Waste'!P43+'App 6-Residual Waste'!W43</f>
        <v>78073.72</v>
      </c>
      <c r="M44" s="212">
        <f>'App 6-Residual Waste'!G43+'App 6-Residual Waste'!Q43+'App 6-Residual Waste'!X43</f>
        <v>37454</v>
      </c>
      <c r="N44" s="212">
        <f>'App 6-Residual Waste'!H43+'App 6-Residual Waste'!R43+'App 6-Residual Waste'!Y43</f>
        <v>40619.72</v>
      </c>
      <c r="O44" s="211"/>
      <c r="P44" s="212">
        <f t="shared" si="4"/>
        <v>90678.55</v>
      </c>
      <c r="Q44" s="212">
        <f t="shared" si="5"/>
        <v>47412.83</v>
      </c>
      <c r="R44" s="212">
        <f t="shared" si="6"/>
        <v>43265.72</v>
      </c>
      <c r="S44" s="213">
        <f t="shared" si="7"/>
        <v>0.52286709480908111</v>
      </c>
      <c r="U44" s="406">
        <f>(P44*1000)/'App 1-Services'!G43/52</f>
        <v>8.4233476115136039</v>
      </c>
      <c r="V44" s="406">
        <f>(P44*1000)/'App 1-Services'!H43/52</f>
        <v>27.634036974371977</v>
      </c>
    </row>
    <row r="45" spans="1:22" ht="15.75" x14ac:dyDescent="0.25">
      <c r="A45" s="376">
        <v>12870</v>
      </c>
      <c r="B45" s="376" t="s">
        <v>171</v>
      </c>
      <c r="C45" s="376" t="s">
        <v>703</v>
      </c>
      <c r="D45" s="404" t="s">
        <v>2</v>
      </c>
      <c r="E45" s="79"/>
      <c r="F45" s="80">
        <f>'App 4-Recyclables'!F44+'App 4-Recyclables'!J44+'App 4-Recyclables'!N44</f>
        <v>1342</v>
      </c>
      <c r="G45" s="80">
        <f>'App 4-Recyclables'!G44+'App 4-Recyclables'!K44+'App 4-Recyclables'!O44</f>
        <v>1208</v>
      </c>
      <c r="H45" s="80">
        <f>'App 4-Recyclables'!H44+'App 4-Recyclables'!L44+'App 4-Recyclables'!P44</f>
        <v>134</v>
      </c>
      <c r="I45" s="80">
        <f>'App 5-Organics'!F44+'App 5-Organics'!J44+'App 5-Organics'!N44</f>
        <v>2200</v>
      </c>
      <c r="J45" s="80">
        <f>'App 5-Organics'!G44+'App 5-Organics'!K44+'App 5-Organics'!O44</f>
        <v>2171.62</v>
      </c>
      <c r="K45" s="80">
        <f>'App 5-Organics'!H44+'App 5-Organics'!L44+'App 5-Organics'!P44</f>
        <v>28.38</v>
      </c>
      <c r="L45" s="212">
        <f>'App 6-Residual Waste'!F44+'App 6-Residual Waste'!P44+'App 6-Residual Waste'!W44</f>
        <v>2340</v>
      </c>
      <c r="M45" s="212">
        <f>'App 6-Residual Waste'!G44+'App 6-Residual Waste'!Q44+'App 6-Residual Waste'!X44</f>
        <v>0</v>
      </c>
      <c r="N45" s="212">
        <f>'App 6-Residual Waste'!H44+'App 6-Residual Waste'!R44+'App 6-Residual Waste'!Y44</f>
        <v>2340</v>
      </c>
      <c r="O45" s="211"/>
      <c r="P45" s="212">
        <f t="shared" si="4"/>
        <v>5882</v>
      </c>
      <c r="Q45" s="212">
        <f t="shared" si="5"/>
        <v>3379.62</v>
      </c>
      <c r="R45" s="212">
        <f t="shared" si="6"/>
        <v>2502.38</v>
      </c>
      <c r="S45" s="213">
        <f t="shared" si="7"/>
        <v>0.57456987419245154</v>
      </c>
      <c r="U45" s="406">
        <f>(P45*1000)/'App 1-Services'!G44/52</f>
        <v>8.9995532353715184</v>
      </c>
      <c r="V45" s="406">
        <f>(P45*1000)/'App 1-Services'!H44/52</f>
        <v>16.496337263436576</v>
      </c>
    </row>
    <row r="46" spans="1:22" ht="15.75" x14ac:dyDescent="0.25">
      <c r="A46" s="376">
        <v>12900</v>
      </c>
      <c r="B46" s="376" t="s">
        <v>177</v>
      </c>
      <c r="C46" s="376" t="s">
        <v>293</v>
      </c>
      <c r="D46" s="404" t="s">
        <v>2</v>
      </c>
      <c r="E46" s="79"/>
      <c r="F46" s="80">
        <f>'App 4-Recyclables'!F45+'App 4-Recyclables'!J45+'App 4-Recyclables'!N45</f>
        <v>1064</v>
      </c>
      <c r="G46" s="80">
        <f>'App 4-Recyclables'!G45+'App 4-Recyclables'!K45+'App 4-Recyclables'!O45</f>
        <v>1041.45</v>
      </c>
      <c r="H46" s="80">
        <f>'App 4-Recyclables'!H45+'App 4-Recyclables'!L45+'App 4-Recyclables'!P45</f>
        <v>22.55</v>
      </c>
      <c r="I46" s="80">
        <f>'App 5-Organics'!F45+'App 5-Organics'!J45+'App 5-Organics'!N45</f>
        <v>2714</v>
      </c>
      <c r="J46" s="80">
        <f>'App 5-Organics'!G45+'App 5-Organics'!K45+'App 5-Organics'!O45</f>
        <v>2714</v>
      </c>
      <c r="K46" s="80">
        <f>'App 5-Organics'!H45+'App 5-Organics'!L45+'App 5-Organics'!P45</f>
        <v>0</v>
      </c>
      <c r="L46" s="212">
        <f>'App 6-Residual Waste'!F45+'App 6-Residual Waste'!P45+'App 6-Residual Waste'!W45</f>
        <v>1408.27</v>
      </c>
      <c r="M46" s="212">
        <f>'App 6-Residual Waste'!G45+'App 6-Residual Waste'!Q45+'App 6-Residual Waste'!X45</f>
        <v>11.5</v>
      </c>
      <c r="N46" s="212">
        <f>'App 6-Residual Waste'!H45+'App 6-Residual Waste'!R45+'App 6-Residual Waste'!Y45</f>
        <v>1397.03</v>
      </c>
      <c r="O46" s="211"/>
      <c r="P46" s="212">
        <f t="shared" si="4"/>
        <v>5186.2700000000004</v>
      </c>
      <c r="Q46" s="212">
        <f t="shared" si="5"/>
        <v>3766.95</v>
      </c>
      <c r="R46" s="212">
        <f t="shared" si="6"/>
        <v>1419.58</v>
      </c>
      <c r="S46" s="213">
        <f t="shared" si="7"/>
        <v>0.72633125541092147</v>
      </c>
      <c r="U46" s="406">
        <f>(P46*1000)/'App 1-Services'!G45/52</f>
        <v>10.210479272979274</v>
      </c>
      <c r="V46" s="406">
        <f>(P46*1000)/'App 1-Services'!H45/52</f>
        <v>21.583198774823963</v>
      </c>
    </row>
    <row r="47" spans="1:22" ht="15.75" x14ac:dyDescent="0.25">
      <c r="A47" s="376">
        <v>12930</v>
      </c>
      <c r="B47" s="376" t="s">
        <v>193</v>
      </c>
      <c r="C47" s="376" t="s">
        <v>127</v>
      </c>
      <c r="D47" s="404" t="s">
        <v>4</v>
      </c>
      <c r="E47" s="79"/>
      <c r="F47" s="80">
        <f>'App 4-Recyclables'!F46+'App 4-Recyclables'!J46+'App 4-Recyclables'!N46</f>
        <v>19811</v>
      </c>
      <c r="G47" s="80">
        <f>'App 4-Recyclables'!G46+'App 4-Recyclables'!K46+'App 4-Recyclables'!O46</f>
        <v>17497</v>
      </c>
      <c r="H47" s="80">
        <f>'App 4-Recyclables'!H46+'App 4-Recyclables'!L46+'App 4-Recyclables'!P46</f>
        <v>2314</v>
      </c>
      <c r="I47" s="80">
        <f>'App 5-Organics'!F46+'App 5-Organics'!J46+'App 5-Organics'!N46</f>
        <v>12117</v>
      </c>
      <c r="J47" s="80">
        <f>'App 5-Organics'!G46+'App 5-Organics'!K46+'App 5-Organics'!O46</f>
        <v>11998</v>
      </c>
      <c r="K47" s="80">
        <f>'App 5-Organics'!H46+'App 5-Organics'!L46+'App 5-Organics'!P46</f>
        <v>119</v>
      </c>
      <c r="L47" s="212">
        <f>'App 6-Residual Waste'!F46+'App 6-Residual Waste'!P46+'App 6-Residual Waste'!W46</f>
        <v>40243</v>
      </c>
      <c r="M47" s="212">
        <f>'App 6-Residual Waste'!G46+'App 6-Residual Waste'!Q46+'App 6-Residual Waste'!X46</f>
        <v>718</v>
      </c>
      <c r="N47" s="212">
        <f>'App 6-Residual Waste'!H46+'App 6-Residual Waste'!R46+'App 6-Residual Waste'!Y46</f>
        <v>39525</v>
      </c>
      <c r="O47" s="211"/>
      <c r="P47" s="212">
        <f t="shared" si="4"/>
        <v>72171</v>
      </c>
      <c r="Q47" s="212">
        <f t="shared" si="5"/>
        <v>30213</v>
      </c>
      <c r="R47" s="212">
        <f t="shared" si="6"/>
        <v>41958</v>
      </c>
      <c r="S47" s="213">
        <f t="shared" si="7"/>
        <v>0.41863075196408528</v>
      </c>
      <c r="U47" s="406">
        <f>(P47*1000)/'App 1-Services'!G46/52</f>
        <v>9.2843208942052335</v>
      </c>
      <c r="V47" s="406">
        <f>(P47*1000)/'App 1-Services'!H46/52</f>
        <v>25.388330183727774</v>
      </c>
    </row>
    <row r="48" spans="1:22" ht="15.75" x14ac:dyDescent="0.25">
      <c r="A48" s="376">
        <v>12950</v>
      </c>
      <c r="B48" s="376" t="s">
        <v>178</v>
      </c>
      <c r="C48" s="376" t="s">
        <v>293</v>
      </c>
      <c r="D48" s="404" t="s">
        <v>2</v>
      </c>
      <c r="E48" s="79"/>
      <c r="F48" s="80">
        <f>'App 4-Recyclables'!F47+'App 4-Recyclables'!J47+'App 4-Recyclables'!N47</f>
        <v>843.6</v>
      </c>
      <c r="G48" s="80">
        <f>'App 4-Recyclables'!G47+'App 4-Recyclables'!K47+'App 4-Recyclables'!O47</f>
        <v>819.16</v>
      </c>
      <c r="H48" s="80">
        <f>'App 4-Recyclables'!H47+'App 4-Recyclables'!L47+'App 4-Recyclables'!P47</f>
        <v>24.44</v>
      </c>
      <c r="I48" s="80">
        <f>'App 5-Organics'!F47+'App 5-Organics'!J47+'App 5-Organics'!N47</f>
        <v>0</v>
      </c>
      <c r="J48" s="80">
        <f>'App 5-Organics'!G47+'App 5-Organics'!K47+'App 5-Organics'!O47</f>
        <v>0</v>
      </c>
      <c r="K48" s="80">
        <f>'App 5-Organics'!H47+'App 5-Organics'!L47+'App 5-Organics'!P47</f>
        <v>0</v>
      </c>
      <c r="L48" s="212">
        <f>'App 6-Residual Waste'!F47+'App 6-Residual Waste'!P47+'App 6-Residual Waste'!W47</f>
        <v>791.26</v>
      </c>
      <c r="M48" s="212">
        <f>'App 6-Residual Waste'!G47+'App 6-Residual Waste'!Q47+'App 6-Residual Waste'!X47</f>
        <v>8.26</v>
      </c>
      <c r="N48" s="212">
        <f>'App 6-Residual Waste'!H47+'App 6-Residual Waste'!R47+'App 6-Residual Waste'!Y47</f>
        <v>783</v>
      </c>
      <c r="O48" s="211"/>
      <c r="P48" s="212">
        <f t="shared" si="4"/>
        <v>1634.8600000000001</v>
      </c>
      <c r="Q48" s="212">
        <f t="shared" si="5"/>
        <v>827.42</v>
      </c>
      <c r="R48" s="212">
        <f t="shared" si="6"/>
        <v>807.44</v>
      </c>
      <c r="S48" s="213">
        <f t="shared" si="7"/>
        <v>0.5061106149762058</v>
      </c>
      <c r="U48" s="406">
        <f>(P48*1000)/'App 1-Services'!G47/52</f>
        <v>7.2291596653518946</v>
      </c>
      <c r="V48" s="406">
        <f>(P48*1000)/'App 1-Services'!H47/52</f>
        <v>14.992663511976819</v>
      </c>
    </row>
    <row r="49" spans="1:22" ht="15.75" x14ac:dyDescent="0.25">
      <c r="A49" s="376">
        <v>13010</v>
      </c>
      <c r="B49" s="376" t="s">
        <v>179</v>
      </c>
      <c r="C49" s="376" t="s">
        <v>125</v>
      </c>
      <c r="D49" s="404" t="s">
        <v>2</v>
      </c>
      <c r="E49" s="79"/>
      <c r="F49" s="80">
        <f>'App 4-Recyclables'!F48+'App 4-Recyclables'!J48+'App 4-Recyclables'!N48</f>
        <v>2352.3200000000002</v>
      </c>
      <c r="G49" s="80">
        <f>'App 4-Recyclables'!G48+'App 4-Recyclables'!K48+'App 4-Recyclables'!O48</f>
        <v>2202.3200000000002</v>
      </c>
      <c r="H49" s="80">
        <f>'App 4-Recyclables'!H48+'App 4-Recyclables'!L48+'App 4-Recyclables'!P48</f>
        <v>150</v>
      </c>
      <c r="I49" s="80">
        <f>'App 5-Organics'!F48+'App 5-Organics'!J48+'App 5-Organics'!N48</f>
        <v>647</v>
      </c>
      <c r="J49" s="80">
        <f>'App 5-Organics'!G48+'App 5-Organics'!K48+'App 5-Organics'!O48</f>
        <v>647</v>
      </c>
      <c r="K49" s="80">
        <f>'App 5-Organics'!H48+'App 5-Organics'!L48+'App 5-Organics'!P48</f>
        <v>0</v>
      </c>
      <c r="L49" s="212">
        <f>'App 6-Residual Waste'!F48+'App 6-Residual Waste'!P48+'App 6-Residual Waste'!W48</f>
        <v>2330.7799999999997</v>
      </c>
      <c r="M49" s="212">
        <f>'App 6-Residual Waste'!G48+'App 6-Residual Waste'!Q48+'App 6-Residual Waste'!X48</f>
        <v>12.78</v>
      </c>
      <c r="N49" s="212">
        <f>'App 6-Residual Waste'!H48+'App 6-Residual Waste'!R48+'App 6-Residual Waste'!Y48</f>
        <v>2318</v>
      </c>
      <c r="O49" s="211"/>
      <c r="P49" s="212">
        <f t="shared" si="4"/>
        <v>5330.1</v>
      </c>
      <c r="Q49" s="212">
        <f t="shared" si="5"/>
        <v>2862.1000000000004</v>
      </c>
      <c r="R49" s="212">
        <f t="shared" si="6"/>
        <v>2468</v>
      </c>
      <c r="S49" s="213">
        <f t="shared" si="7"/>
        <v>0.53696928763062612</v>
      </c>
      <c r="U49" s="406">
        <f>(P49*1000)/'App 1-Services'!G48/52</f>
        <v>11.387837248852691</v>
      </c>
      <c r="V49" s="406">
        <f>(P49*1000)/'App 1-Services'!H48/52</f>
        <v>23.94904744787922</v>
      </c>
    </row>
    <row r="50" spans="1:22" ht="15.75" x14ac:dyDescent="0.25">
      <c r="A50" s="376">
        <v>13310</v>
      </c>
      <c r="B50" s="376" t="s">
        <v>182</v>
      </c>
      <c r="C50" s="376" t="s">
        <v>704</v>
      </c>
      <c r="D50" s="404" t="s">
        <v>2</v>
      </c>
      <c r="E50" s="79"/>
      <c r="F50" s="80">
        <f>'App 4-Recyclables'!F49+'App 4-Recyclables'!J49+'App 4-Recyclables'!N49</f>
        <v>3555.54</v>
      </c>
      <c r="G50" s="80">
        <f>'App 4-Recyclables'!G49+'App 4-Recyclables'!K49+'App 4-Recyclables'!O49</f>
        <v>2051.9399999999996</v>
      </c>
      <c r="H50" s="80">
        <f>'App 4-Recyclables'!H49+'App 4-Recyclables'!L49+'App 4-Recyclables'!P49</f>
        <v>1503.6</v>
      </c>
      <c r="I50" s="80">
        <f>'App 5-Organics'!F49+'App 5-Organics'!J49+'App 5-Organics'!N49</f>
        <v>3281.7</v>
      </c>
      <c r="J50" s="80">
        <f>'App 5-Organics'!G49+'App 5-Organics'!K49+'App 5-Organics'!O49</f>
        <v>3281.7</v>
      </c>
      <c r="K50" s="80">
        <f>'App 5-Organics'!H49+'App 5-Organics'!L49+'App 5-Organics'!P49</f>
        <v>0</v>
      </c>
      <c r="L50" s="212">
        <f>'App 6-Residual Waste'!F49+'App 6-Residual Waste'!P49+'App 6-Residual Waste'!W49</f>
        <v>10494.08</v>
      </c>
      <c r="M50" s="212">
        <f>'App 6-Residual Waste'!G49+'App 6-Residual Waste'!Q49+'App 6-Residual Waste'!X49</f>
        <v>443.56999999999977</v>
      </c>
      <c r="N50" s="212">
        <f>'App 6-Residual Waste'!H49+'App 6-Residual Waste'!R49+'App 6-Residual Waste'!Y49</f>
        <v>10050.51</v>
      </c>
      <c r="O50" s="211"/>
      <c r="P50" s="212">
        <f t="shared" si="4"/>
        <v>17331.32</v>
      </c>
      <c r="Q50" s="212">
        <f t="shared" si="5"/>
        <v>5777.2099999999991</v>
      </c>
      <c r="R50" s="212">
        <f t="shared" si="6"/>
        <v>11554.11</v>
      </c>
      <c r="S50" s="213">
        <f t="shared" si="7"/>
        <v>0.3333392955643309</v>
      </c>
      <c r="U50" s="406">
        <f>(P50*1000)/'App 1-Services'!G49/52</f>
        <v>11.140270585754909</v>
      </c>
      <c r="V50" s="406">
        <f>(P50*1000)/'App 1-Services'!H49/52</f>
        <v>23.774492858593007</v>
      </c>
    </row>
    <row r="51" spans="1:22" ht="15.75" x14ac:dyDescent="0.25">
      <c r="A51" s="376">
        <v>13340</v>
      </c>
      <c r="B51" s="376" t="s">
        <v>183</v>
      </c>
      <c r="C51" s="376" t="s">
        <v>703</v>
      </c>
      <c r="D51" s="404" t="s">
        <v>2</v>
      </c>
      <c r="E51" s="79"/>
      <c r="F51" s="80">
        <f>'App 4-Recyclables'!F50+'App 4-Recyclables'!J50+'App 4-Recyclables'!N50</f>
        <v>1572</v>
      </c>
      <c r="G51" s="80">
        <f>'App 4-Recyclables'!G50+'App 4-Recyclables'!K50+'App 4-Recyclables'!O50</f>
        <v>1538.55</v>
      </c>
      <c r="H51" s="80">
        <f>'App 4-Recyclables'!H50+'App 4-Recyclables'!L50+'App 4-Recyclables'!P50</f>
        <v>33.450000000000003</v>
      </c>
      <c r="I51" s="80">
        <f>'App 5-Organics'!F50+'App 5-Organics'!J50+'App 5-Organics'!N50</f>
        <v>230</v>
      </c>
      <c r="J51" s="80">
        <f>'App 5-Organics'!G50+'App 5-Organics'!K50+'App 5-Organics'!O50</f>
        <v>230</v>
      </c>
      <c r="K51" s="80">
        <f>'App 5-Organics'!H50+'App 5-Organics'!L50+'App 5-Organics'!P50</f>
        <v>0</v>
      </c>
      <c r="L51" s="212">
        <f>'App 6-Residual Waste'!F50+'App 6-Residual Waste'!P50+'App 6-Residual Waste'!W50</f>
        <v>3828</v>
      </c>
      <c r="M51" s="212">
        <f>'App 6-Residual Waste'!G50+'App 6-Residual Waste'!Q50+'App 6-Residual Waste'!X50</f>
        <v>144</v>
      </c>
      <c r="N51" s="212">
        <f>'App 6-Residual Waste'!H50+'App 6-Residual Waste'!R50+'App 6-Residual Waste'!Y50</f>
        <v>3684</v>
      </c>
      <c r="O51" s="211"/>
      <c r="P51" s="212">
        <f t="shared" si="4"/>
        <v>5630</v>
      </c>
      <c r="Q51" s="212">
        <f t="shared" si="5"/>
        <v>1912.55</v>
      </c>
      <c r="R51" s="212">
        <f t="shared" si="6"/>
        <v>3717.45</v>
      </c>
      <c r="S51" s="213">
        <f t="shared" si="7"/>
        <v>0.33970692717584366</v>
      </c>
      <c r="U51" s="406">
        <f>(P51*1000)/'App 1-Services'!G50/52</f>
        <v>10.404500362217066</v>
      </c>
      <c r="V51" s="406">
        <f>(P51*1000)/'App 1-Services'!H50/52</f>
        <v>29.908627284317895</v>
      </c>
    </row>
    <row r="52" spans="1:22" ht="15.75" x14ac:dyDescent="0.25">
      <c r="A52" s="376">
        <v>13450</v>
      </c>
      <c r="B52" s="376" t="s">
        <v>184</v>
      </c>
      <c r="C52" s="376" t="s">
        <v>705</v>
      </c>
      <c r="D52" s="404" t="s">
        <v>2</v>
      </c>
      <c r="E52" s="79"/>
      <c r="F52" s="80">
        <f>'App 4-Recyclables'!F51+'App 4-Recyclables'!J51+'App 4-Recyclables'!N51</f>
        <v>1569.92</v>
      </c>
      <c r="G52" s="80">
        <f>'App 4-Recyclables'!G51+'App 4-Recyclables'!K51+'App 4-Recyclables'!O51</f>
        <v>1507.4</v>
      </c>
      <c r="H52" s="80">
        <f>'App 4-Recyclables'!H51+'App 4-Recyclables'!L51+'App 4-Recyclables'!P51</f>
        <v>62.52</v>
      </c>
      <c r="I52" s="80">
        <f>'App 5-Organics'!F51+'App 5-Organics'!J51+'App 5-Organics'!N51</f>
        <v>139.94</v>
      </c>
      <c r="J52" s="80">
        <f>'App 5-Organics'!G51+'App 5-Organics'!K51+'App 5-Organics'!O51</f>
        <v>0</v>
      </c>
      <c r="K52" s="80">
        <f>'App 5-Organics'!H51+'App 5-Organics'!L51+'App 5-Organics'!P51</f>
        <v>139.94</v>
      </c>
      <c r="L52" s="212">
        <f>'App 6-Residual Waste'!F51+'App 6-Residual Waste'!P51+'App 6-Residual Waste'!W51</f>
        <v>7304.44</v>
      </c>
      <c r="M52" s="212">
        <f>'App 6-Residual Waste'!G51+'App 6-Residual Waste'!Q51+'App 6-Residual Waste'!X51</f>
        <v>2.68</v>
      </c>
      <c r="N52" s="212">
        <f>'App 6-Residual Waste'!H51+'App 6-Residual Waste'!R51+'App 6-Residual Waste'!Y51</f>
        <v>7301.76</v>
      </c>
      <c r="O52" s="211"/>
      <c r="P52" s="212">
        <f t="shared" si="4"/>
        <v>9014.2999999999993</v>
      </c>
      <c r="Q52" s="212">
        <f t="shared" si="5"/>
        <v>1510.0800000000002</v>
      </c>
      <c r="R52" s="212">
        <f t="shared" si="6"/>
        <v>7504.22</v>
      </c>
      <c r="S52" s="213">
        <f t="shared" si="7"/>
        <v>0.16752049521316134</v>
      </c>
      <c r="U52" s="406">
        <f>(P52*1000)/'App 1-Services'!G51/52</f>
        <v>6.63548030916452</v>
      </c>
      <c r="V52" s="406">
        <f>(P52*1000)/'App 1-Services'!H51/52</f>
        <v>16.46110749947043</v>
      </c>
    </row>
    <row r="53" spans="1:22" ht="15.75" x14ac:dyDescent="0.25">
      <c r="A53" s="376">
        <v>13510</v>
      </c>
      <c r="B53" s="376" t="s">
        <v>295</v>
      </c>
      <c r="C53" s="376" t="s">
        <v>142</v>
      </c>
      <c r="D53" s="404" t="s">
        <v>2</v>
      </c>
      <c r="E53" s="79"/>
      <c r="F53" s="80">
        <f>'App 4-Recyclables'!F52+'App 4-Recyclables'!J52+'App 4-Recyclables'!N52</f>
        <v>2061.36</v>
      </c>
      <c r="G53" s="80">
        <f>'App 4-Recyclables'!G52+'App 4-Recyclables'!K52+'App 4-Recyclables'!O52</f>
        <v>1570.1100000000001</v>
      </c>
      <c r="H53" s="80">
        <f>'App 4-Recyclables'!H52+'App 4-Recyclables'!L52+'App 4-Recyclables'!P52</f>
        <v>491.25</v>
      </c>
      <c r="I53" s="80">
        <f>'App 5-Organics'!F52+'App 5-Organics'!J52+'App 5-Organics'!N52</f>
        <v>1291.5</v>
      </c>
      <c r="J53" s="80">
        <f>'App 5-Organics'!G52+'App 5-Organics'!K52+'App 5-Organics'!O52</f>
        <v>1252</v>
      </c>
      <c r="K53" s="80">
        <f>'App 5-Organics'!H52+'App 5-Organics'!L52+'App 5-Organics'!P52</f>
        <v>39.5</v>
      </c>
      <c r="L53" s="212">
        <f>'App 6-Residual Waste'!F52+'App 6-Residual Waste'!P52+'App 6-Residual Waste'!W52</f>
        <v>3417.16</v>
      </c>
      <c r="M53" s="212">
        <f>'App 6-Residual Waste'!G52+'App 6-Residual Waste'!Q52+'App 6-Residual Waste'!X52</f>
        <v>0</v>
      </c>
      <c r="N53" s="212">
        <f>'App 6-Residual Waste'!H52+'App 6-Residual Waste'!R52+'App 6-Residual Waste'!Y52</f>
        <v>3417.16</v>
      </c>
      <c r="O53" s="211"/>
      <c r="P53" s="212">
        <f t="shared" si="4"/>
        <v>6770.02</v>
      </c>
      <c r="Q53" s="212">
        <f t="shared" si="5"/>
        <v>2822.11</v>
      </c>
      <c r="R53" s="212">
        <f t="shared" si="6"/>
        <v>3947.91</v>
      </c>
      <c r="S53" s="213">
        <f t="shared" si="7"/>
        <v>0.41685401224811741</v>
      </c>
      <c r="U53" s="406">
        <f>(P53*1000)/'App 1-Services'!G52/52</f>
        <v>11.428431557908384</v>
      </c>
      <c r="V53" s="406">
        <f>(P53*1000)/'App 1-Services'!H52/52</f>
        <v>25.070805374098271</v>
      </c>
    </row>
    <row r="54" spans="1:22" ht="15.75" x14ac:dyDescent="0.25">
      <c r="A54" s="376">
        <v>13550</v>
      </c>
      <c r="B54" s="376" t="s">
        <v>185</v>
      </c>
      <c r="C54" s="376" t="s">
        <v>125</v>
      </c>
      <c r="D54" s="404" t="s">
        <v>2</v>
      </c>
      <c r="E54" s="79"/>
      <c r="F54" s="80">
        <f>'App 4-Recyclables'!F53+'App 4-Recyclables'!J53+'App 4-Recyclables'!N53</f>
        <v>2277</v>
      </c>
      <c r="G54" s="80">
        <f>'App 4-Recyclables'!G53+'App 4-Recyclables'!K53+'App 4-Recyclables'!O53</f>
        <v>1840.92</v>
      </c>
      <c r="H54" s="80">
        <f>'App 4-Recyclables'!H53+'App 4-Recyclables'!L53+'App 4-Recyclables'!P53</f>
        <v>436.08</v>
      </c>
      <c r="I54" s="80">
        <f>'App 5-Organics'!F53+'App 5-Organics'!J53+'App 5-Organics'!N53</f>
        <v>1303</v>
      </c>
      <c r="J54" s="80">
        <f>'App 5-Organics'!G53+'App 5-Organics'!K53+'App 5-Organics'!O53</f>
        <v>1243.3799999999999</v>
      </c>
      <c r="K54" s="80">
        <f>'App 5-Organics'!H53+'App 5-Organics'!L53+'App 5-Organics'!P53</f>
        <v>59.62</v>
      </c>
      <c r="L54" s="212">
        <f>'App 6-Residual Waste'!F53+'App 6-Residual Waste'!P53+'App 6-Residual Waste'!W53</f>
        <v>3364.78</v>
      </c>
      <c r="M54" s="212">
        <f>'App 6-Residual Waste'!G53+'App 6-Residual Waste'!Q53+'App 6-Residual Waste'!X53</f>
        <v>136.85999999999999</v>
      </c>
      <c r="N54" s="212">
        <f>'App 6-Residual Waste'!H53+'App 6-Residual Waste'!R53+'App 6-Residual Waste'!Y53</f>
        <v>3227.92</v>
      </c>
      <c r="O54" s="211"/>
      <c r="P54" s="212">
        <f t="shared" si="4"/>
        <v>6944.7800000000007</v>
      </c>
      <c r="Q54" s="212">
        <f t="shared" si="5"/>
        <v>3221.1600000000003</v>
      </c>
      <c r="R54" s="212">
        <f t="shared" si="6"/>
        <v>3723.62</v>
      </c>
      <c r="S54" s="213">
        <f t="shared" si="7"/>
        <v>0.46382462799397534</v>
      </c>
      <c r="U54" s="406">
        <f>(P54*1000)/'App 1-Services'!G53/52</f>
        <v>10.282043385823508</v>
      </c>
      <c r="V54" s="406">
        <f>(P54*1000)/'App 1-Services'!H53/52</f>
        <v>31.225967158864055</v>
      </c>
    </row>
    <row r="55" spans="1:22" ht="15.75" x14ac:dyDescent="0.25">
      <c r="A55" s="376">
        <v>13660</v>
      </c>
      <c r="B55" s="376" t="s">
        <v>186</v>
      </c>
      <c r="C55" s="376" t="s">
        <v>125</v>
      </c>
      <c r="D55" s="404" t="s">
        <v>2</v>
      </c>
      <c r="E55" s="79"/>
      <c r="F55" s="80">
        <f>'App 4-Recyclables'!F54+'App 4-Recyclables'!J54+'App 4-Recyclables'!N54</f>
        <v>711</v>
      </c>
      <c r="G55" s="80">
        <f>'App 4-Recyclables'!G54+'App 4-Recyclables'!K54+'App 4-Recyclables'!O54</f>
        <v>699.19999999999993</v>
      </c>
      <c r="H55" s="80">
        <f>'App 4-Recyclables'!H54+'App 4-Recyclables'!L54+'App 4-Recyclables'!P54</f>
        <v>11.8</v>
      </c>
      <c r="I55" s="80">
        <f>'App 5-Organics'!F54+'App 5-Organics'!J54+'App 5-Organics'!N54</f>
        <v>601.04999999999995</v>
      </c>
      <c r="J55" s="80">
        <f>'App 5-Organics'!G54+'App 5-Organics'!K54+'App 5-Organics'!O54</f>
        <v>601.04999999999995</v>
      </c>
      <c r="K55" s="80">
        <f>'App 5-Organics'!H54+'App 5-Organics'!L54+'App 5-Organics'!P54</f>
        <v>0</v>
      </c>
      <c r="L55" s="212">
        <f>'App 6-Residual Waste'!F54+'App 6-Residual Waste'!P54+'App 6-Residual Waste'!W54</f>
        <v>1853.3</v>
      </c>
      <c r="M55" s="212">
        <f>'App 6-Residual Waste'!G54+'App 6-Residual Waste'!Q54+'App 6-Residual Waste'!X54</f>
        <v>256.09999999999997</v>
      </c>
      <c r="N55" s="212">
        <f>'App 6-Residual Waste'!H54+'App 6-Residual Waste'!R54+'App 6-Residual Waste'!Y54</f>
        <v>1597.2</v>
      </c>
      <c r="O55" s="211"/>
      <c r="P55" s="212">
        <f t="shared" si="4"/>
        <v>3165.35</v>
      </c>
      <c r="Q55" s="212">
        <f t="shared" si="5"/>
        <v>1556.35</v>
      </c>
      <c r="R55" s="212">
        <f t="shared" si="6"/>
        <v>1609</v>
      </c>
      <c r="S55" s="213">
        <f t="shared" si="7"/>
        <v>0.49168338414393353</v>
      </c>
      <c r="U55" s="406">
        <f>(P55*1000)/'App 1-Services'!G54/52</f>
        <v>12.101812203700872</v>
      </c>
      <c r="V55" s="406">
        <f>(P55*1000)/'App 1-Services'!H54/52</f>
        <v>35.639411817690508</v>
      </c>
    </row>
    <row r="56" spans="1:22" ht="15.75" x14ac:dyDescent="0.25">
      <c r="A56" s="376">
        <v>13800</v>
      </c>
      <c r="B56" s="376" t="s">
        <v>188</v>
      </c>
      <c r="C56" s="376" t="s">
        <v>129</v>
      </c>
      <c r="D56" s="404" t="s">
        <v>3</v>
      </c>
      <c r="E56" s="79"/>
      <c r="F56" s="80">
        <f>'App 4-Recyclables'!F55+'App 4-Recyclables'!J55+'App 4-Recyclables'!N55</f>
        <v>7569.33</v>
      </c>
      <c r="G56" s="80">
        <f>'App 4-Recyclables'!G55+'App 4-Recyclables'!K55+'App 4-Recyclables'!O55</f>
        <v>6997.33</v>
      </c>
      <c r="H56" s="80">
        <f>'App 4-Recyclables'!H55+'App 4-Recyclables'!L55+'App 4-Recyclables'!P55</f>
        <v>572</v>
      </c>
      <c r="I56" s="80">
        <f>'App 5-Organics'!F55+'App 5-Organics'!J55+'App 5-Organics'!N55</f>
        <v>5468.3099999999995</v>
      </c>
      <c r="J56" s="80">
        <f>'App 5-Organics'!G55+'App 5-Organics'!K55+'App 5-Organics'!O55</f>
        <v>5394.68</v>
      </c>
      <c r="K56" s="80">
        <f>'App 5-Organics'!H55+'App 5-Organics'!L55+'App 5-Organics'!P55</f>
        <v>73.63</v>
      </c>
      <c r="L56" s="212">
        <f>'App 6-Residual Waste'!F55+'App 6-Residual Waste'!P55+'App 6-Residual Waste'!W55</f>
        <v>21618.69</v>
      </c>
      <c r="M56" s="212">
        <f>'App 6-Residual Waste'!G55+'App 6-Residual Waste'!Q55+'App 6-Residual Waste'!X55</f>
        <v>89.100000000000023</v>
      </c>
      <c r="N56" s="212">
        <f>'App 6-Residual Waste'!H55+'App 6-Residual Waste'!R55+'App 6-Residual Waste'!Y55</f>
        <v>21529.59</v>
      </c>
      <c r="O56" s="211"/>
      <c r="P56" s="212">
        <f t="shared" si="4"/>
        <v>34656.33</v>
      </c>
      <c r="Q56" s="212">
        <f t="shared" si="5"/>
        <v>12481.11</v>
      </c>
      <c r="R56" s="212">
        <f t="shared" si="6"/>
        <v>22175.22</v>
      </c>
      <c r="S56" s="213">
        <f t="shared" si="7"/>
        <v>0.36013940310471421</v>
      </c>
      <c r="U56" s="406">
        <f>(P56*1000)/'App 1-Services'!G55/52</f>
        <v>9.9797532960286404</v>
      </c>
      <c r="V56" s="406">
        <f>(P56*1000)/'App 1-Services'!H55/52</f>
        <v>27.704850541045253</v>
      </c>
    </row>
    <row r="57" spans="1:22" ht="15.75" x14ac:dyDescent="0.25">
      <c r="A57" s="376">
        <v>13850</v>
      </c>
      <c r="B57" s="376" t="s">
        <v>189</v>
      </c>
      <c r="C57" s="376" t="s">
        <v>705</v>
      </c>
      <c r="D57" s="404" t="s">
        <v>2</v>
      </c>
      <c r="E57" s="79"/>
      <c r="F57" s="80">
        <f>'App 4-Recyclables'!F56+'App 4-Recyclables'!J56+'App 4-Recyclables'!N56</f>
        <v>0</v>
      </c>
      <c r="G57" s="80">
        <f>'App 4-Recyclables'!G56+'App 4-Recyclables'!K56+'App 4-Recyclables'!O56</f>
        <v>0</v>
      </c>
      <c r="H57" s="80">
        <f>'App 4-Recyclables'!H56+'App 4-Recyclables'!L56+'App 4-Recyclables'!P56</f>
        <v>0</v>
      </c>
      <c r="I57" s="80">
        <f>'App 5-Organics'!F56+'App 5-Organics'!J56+'App 5-Organics'!N56</f>
        <v>0</v>
      </c>
      <c r="J57" s="80">
        <f>'App 5-Organics'!G56+'App 5-Organics'!K56+'App 5-Organics'!O56</f>
        <v>0</v>
      </c>
      <c r="K57" s="80">
        <f>'App 5-Organics'!H56+'App 5-Organics'!L56+'App 5-Organics'!P56</f>
        <v>0</v>
      </c>
      <c r="L57" s="212">
        <f>'App 6-Residual Waste'!F56+'App 6-Residual Waste'!P56+'App 6-Residual Waste'!W56</f>
        <v>1480</v>
      </c>
      <c r="M57" s="212">
        <f>'App 6-Residual Waste'!G56+'App 6-Residual Waste'!Q56+'App 6-Residual Waste'!X56</f>
        <v>0</v>
      </c>
      <c r="N57" s="212">
        <f>'App 6-Residual Waste'!H56+'App 6-Residual Waste'!R56+'App 6-Residual Waste'!Y56</f>
        <v>1480</v>
      </c>
      <c r="O57" s="211"/>
      <c r="P57" s="212">
        <f t="shared" si="4"/>
        <v>1480</v>
      </c>
      <c r="Q57" s="212">
        <f t="shared" si="5"/>
        <v>0</v>
      </c>
      <c r="R57" s="212">
        <f t="shared" si="6"/>
        <v>1480</v>
      </c>
      <c r="S57" s="213">
        <f t="shared" si="7"/>
        <v>0</v>
      </c>
      <c r="U57" s="406">
        <f>(P57*1000)/'App 1-Services'!G56/52</f>
        <v>9.6283959612782333</v>
      </c>
      <c r="V57" s="406">
        <f>(P57*1000)/'App 1-Services'!H56/52</f>
        <v>24.140405819795131</v>
      </c>
    </row>
    <row r="58" spans="1:22" ht="15.75" x14ac:dyDescent="0.25">
      <c r="A58" s="376">
        <v>13910</v>
      </c>
      <c r="B58" s="376" t="s">
        <v>148</v>
      </c>
      <c r="C58" s="376" t="s">
        <v>704</v>
      </c>
      <c r="D58" s="404" t="s">
        <v>2</v>
      </c>
      <c r="E58" s="79"/>
      <c r="F58" s="80">
        <f>'App 4-Recyclables'!F57+'App 4-Recyclables'!J57+'App 4-Recyclables'!N57</f>
        <v>4125</v>
      </c>
      <c r="G58" s="80">
        <f>'App 4-Recyclables'!G57+'App 4-Recyclables'!K57+'App 4-Recyclables'!O57</f>
        <v>3875</v>
      </c>
      <c r="H58" s="80">
        <f>'App 4-Recyclables'!H57+'App 4-Recyclables'!L57+'App 4-Recyclables'!P57</f>
        <v>250</v>
      </c>
      <c r="I58" s="80">
        <f>'App 5-Organics'!F57+'App 5-Organics'!J57+'App 5-Organics'!N57</f>
        <v>1659</v>
      </c>
      <c r="J58" s="80">
        <f>'App 5-Organics'!G57+'App 5-Organics'!K57+'App 5-Organics'!O57</f>
        <v>1657</v>
      </c>
      <c r="K58" s="80">
        <f>'App 5-Organics'!H57+'App 5-Organics'!L57+'App 5-Organics'!P57</f>
        <v>2</v>
      </c>
      <c r="L58" s="212">
        <f>'App 6-Residual Waste'!F57+'App 6-Residual Waste'!P57+'App 6-Residual Waste'!W57</f>
        <v>6614.7</v>
      </c>
      <c r="M58" s="212">
        <f>'App 6-Residual Waste'!G57+'App 6-Residual Waste'!Q57+'App 6-Residual Waste'!X57</f>
        <v>0</v>
      </c>
      <c r="N58" s="212">
        <f>'App 6-Residual Waste'!H57+'App 6-Residual Waste'!R57+'App 6-Residual Waste'!Y57</f>
        <v>6614.7</v>
      </c>
      <c r="O58" s="211"/>
      <c r="P58" s="212">
        <f t="shared" si="4"/>
        <v>12398.7</v>
      </c>
      <c r="Q58" s="212">
        <f t="shared" si="5"/>
        <v>5532</v>
      </c>
      <c r="R58" s="212">
        <f t="shared" si="6"/>
        <v>6866.7</v>
      </c>
      <c r="S58" s="213">
        <f t="shared" si="7"/>
        <v>0.44617580875414353</v>
      </c>
      <c r="U58" s="406">
        <f>(P58*1000)/'App 1-Services'!G57/52</f>
        <v>12.553916625153395</v>
      </c>
      <c r="V58" s="406">
        <f>(P58*1000)/'App 1-Services'!H57/52</f>
        <v>21.628858713855088</v>
      </c>
    </row>
    <row r="59" spans="1:22" ht="15.75" x14ac:dyDescent="0.25">
      <c r="A59" s="376">
        <v>14000</v>
      </c>
      <c r="B59" s="376" t="s">
        <v>191</v>
      </c>
      <c r="C59" s="376" t="s">
        <v>190</v>
      </c>
      <c r="D59" s="404" t="s">
        <v>4</v>
      </c>
      <c r="E59" s="79"/>
      <c r="F59" s="80">
        <f>'App 4-Recyclables'!F58+'App 4-Recyclables'!J58+'App 4-Recyclables'!N58</f>
        <v>28275.06</v>
      </c>
      <c r="G59" s="80">
        <f>'App 4-Recyclables'!G58+'App 4-Recyclables'!K58+'App 4-Recyclables'!O58</f>
        <v>27400.77</v>
      </c>
      <c r="H59" s="80">
        <f>'App 4-Recyclables'!H58+'App 4-Recyclables'!L58+'App 4-Recyclables'!P58</f>
        <v>874.29</v>
      </c>
      <c r="I59" s="80">
        <f>'App 5-Organics'!F58+'App 5-Organics'!J58+'App 5-Organics'!N58</f>
        <v>19277.650000000001</v>
      </c>
      <c r="J59" s="80">
        <f>'App 5-Organics'!G58+'App 5-Organics'!K58+'App 5-Organics'!O58</f>
        <v>19277.650000000001</v>
      </c>
      <c r="K59" s="80">
        <f>'App 5-Organics'!H58+'App 5-Organics'!L58+'App 5-Organics'!P58</f>
        <v>0</v>
      </c>
      <c r="L59" s="212">
        <f>'App 6-Residual Waste'!F58+'App 6-Residual Waste'!P58+'App 6-Residual Waste'!W58</f>
        <v>40473.06</v>
      </c>
      <c r="M59" s="212">
        <f>'App 6-Residual Waste'!G58+'App 6-Residual Waste'!Q58+'App 6-Residual Waste'!X58</f>
        <v>2087.6499999999996</v>
      </c>
      <c r="N59" s="212">
        <f>'App 6-Residual Waste'!H58+'App 6-Residual Waste'!R58+'App 6-Residual Waste'!Y58</f>
        <v>38385.410000000003</v>
      </c>
      <c r="O59" s="211"/>
      <c r="P59" s="212">
        <f t="shared" si="4"/>
        <v>88025.77</v>
      </c>
      <c r="Q59" s="212">
        <f t="shared" si="5"/>
        <v>48766.07</v>
      </c>
      <c r="R59" s="212">
        <f t="shared" si="6"/>
        <v>39259.700000000004</v>
      </c>
      <c r="S59" s="213">
        <f t="shared" si="7"/>
        <v>0.5539976531872427</v>
      </c>
      <c r="U59" s="406">
        <f>(P59*1000)/'App 1-Services'!G58/52</f>
        <v>11.193049777704989</v>
      </c>
      <c r="V59" s="406">
        <f>(P59*1000)/'App 1-Services'!H58/52</f>
        <v>39.657106995988599</v>
      </c>
    </row>
    <row r="60" spans="1:22" ht="15.75" x14ac:dyDescent="0.25">
      <c r="A60" s="376">
        <v>14100</v>
      </c>
      <c r="B60" s="376" t="s">
        <v>192</v>
      </c>
      <c r="C60" s="376" t="s">
        <v>190</v>
      </c>
      <c r="D60" s="404" t="s">
        <v>4</v>
      </c>
      <c r="E60" s="79"/>
      <c r="F60" s="80">
        <f>'App 4-Recyclables'!F59+'App 4-Recyclables'!J59+'App 4-Recyclables'!N59</f>
        <v>1396.19</v>
      </c>
      <c r="G60" s="80">
        <f>'App 4-Recyclables'!G59+'App 4-Recyclables'!K59+'App 4-Recyclables'!O59</f>
        <v>1358.8300000000002</v>
      </c>
      <c r="H60" s="80">
        <f>'App 4-Recyclables'!H59+'App 4-Recyclables'!L59+'App 4-Recyclables'!P59</f>
        <v>37.36</v>
      </c>
      <c r="I60" s="80">
        <f>'App 5-Organics'!F59+'App 5-Organics'!J59+'App 5-Organics'!N59</f>
        <v>1121</v>
      </c>
      <c r="J60" s="80">
        <f>'App 5-Organics'!G59+'App 5-Organics'!K59+'App 5-Organics'!O59</f>
        <v>1121</v>
      </c>
      <c r="K60" s="80">
        <f>'App 5-Organics'!H59+'App 5-Organics'!L59+'App 5-Organics'!P59</f>
        <v>0</v>
      </c>
      <c r="L60" s="212">
        <f>'App 6-Residual Waste'!F59+'App 6-Residual Waste'!P59+'App 6-Residual Waste'!W59</f>
        <v>3050.83</v>
      </c>
      <c r="M60" s="212">
        <f>'App 6-Residual Waste'!G59+'App 6-Residual Waste'!Q59+'App 6-Residual Waste'!X59</f>
        <v>198.83</v>
      </c>
      <c r="N60" s="212">
        <f>'App 6-Residual Waste'!H59+'App 6-Residual Waste'!R59+'App 6-Residual Waste'!Y59</f>
        <v>2852</v>
      </c>
      <c r="O60" s="211"/>
      <c r="P60" s="212">
        <f t="shared" si="4"/>
        <v>5568.02</v>
      </c>
      <c r="Q60" s="212">
        <f t="shared" si="5"/>
        <v>2678.66</v>
      </c>
      <c r="R60" s="212">
        <f t="shared" si="6"/>
        <v>2889.36</v>
      </c>
      <c r="S60" s="213">
        <f t="shared" si="7"/>
        <v>0.48107945014565318</v>
      </c>
      <c r="U60" s="406">
        <f>(P60*1000)/'App 1-Services'!G59/52</f>
        <v>7.2139936463186478</v>
      </c>
      <c r="V60" s="406">
        <f>(P60*1000)/'App 1-Services'!H59/52</f>
        <v>21.781388871502784</v>
      </c>
    </row>
    <row r="61" spans="1:22" ht="15.75" x14ac:dyDescent="0.25">
      <c r="A61" s="376">
        <v>14170</v>
      </c>
      <c r="B61" s="376" t="s">
        <v>128</v>
      </c>
      <c r="C61" s="376" t="s">
        <v>127</v>
      </c>
      <c r="D61" s="404" t="s">
        <v>4</v>
      </c>
      <c r="E61" s="79"/>
      <c r="F61" s="80">
        <f>'App 4-Recyclables'!F60+'App 4-Recyclables'!J60+'App 4-Recyclables'!N60</f>
        <v>17461.390000000003</v>
      </c>
      <c r="G61" s="80">
        <f>'App 4-Recyclables'!G60+'App 4-Recyclables'!K60+'App 4-Recyclables'!O60</f>
        <v>16823.05</v>
      </c>
      <c r="H61" s="80">
        <f>'App 4-Recyclables'!H60+'App 4-Recyclables'!L60+'App 4-Recyclables'!P60</f>
        <v>638.34</v>
      </c>
      <c r="I61" s="80">
        <f>'App 5-Organics'!F60+'App 5-Organics'!J60+'App 5-Organics'!N60</f>
        <v>7806.72</v>
      </c>
      <c r="J61" s="80">
        <f>'App 5-Organics'!G60+'App 5-Organics'!K60+'App 5-Organics'!O60</f>
        <v>7806.72</v>
      </c>
      <c r="K61" s="80">
        <f>'App 5-Organics'!H60+'App 5-Organics'!L60+'App 5-Organics'!P60</f>
        <v>0</v>
      </c>
      <c r="L61" s="212">
        <f>'App 6-Residual Waste'!F60+'App 6-Residual Waste'!P60+'App 6-Residual Waste'!W60</f>
        <v>44662.159999999996</v>
      </c>
      <c r="M61" s="212">
        <f>'App 6-Residual Waste'!G60+'App 6-Residual Waste'!Q60+'App 6-Residual Waste'!X60</f>
        <v>580.92000000000007</v>
      </c>
      <c r="N61" s="212">
        <f>'App 6-Residual Waste'!H60+'App 6-Residual Waste'!R60+'App 6-Residual Waste'!Y60</f>
        <v>44081.24</v>
      </c>
      <c r="O61" s="211"/>
      <c r="P61" s="212">
        <f t="shared" si="4"/>
        <v>69930.27</v>
      </c>
      <c r="Q61" s="212">
        <f t="shared" si="5"/>
        <v>25210.690000000002</v>
      </c>
      <c r="R61" s="212">
        <f t="shared" si="6"/>
        <v>44719.579999999994</v>
      </c>
      <c r="S61" s="213">
        <f t="shared" si="7"/>
        <v>0.36051183557563843</v>
      </c>
      <c r="U61" s="406">
        <f>(P61*1000)/'App 1-Services'!G60/52</f>
        <v>7.0937929095211665</v>
      </c>
      <c r="V61" s="406">
        <f>(P61*1000)/'App 1-Services'!H60/52</f>
        <v>18.071069964462694</v>
      </c>
    </row>
    <row r="62" spans="1:22" ht="15.75" x14ac:dyDescent="0.25">
      <c r="A62" s="376">
        <v>14200</v>
      </c>
      <c r="B62" s="376" t="s">
        <v>194</v>
      </c>
      <c r="C62" s="376" t="s">
        <v>125</v>
      </c>
      <c r="D62" s="404" t="s">
        <v>2</v>
      </c>
      <c r="E62" s="79"/>
      <c r="F62" s="80">
        <f>'App 4-Recyclables'!F61+'App 4-Recyclables'!J61+'App 4-Recyclables'!N61</f>
        <v>4237.66</v>
      </c>
      <c r="G62" s="80">
        <f>'App 4-Recyclables'!G61+'App 4-Recyclables'!K61+'App 4-Recyclables'!O61</f>
        <v>4237.26</v>
      </c>
      <c r="H62" s="80">
        <f>'App 4-Recyclables'!H61+'App 4-Recyclables'!L61+'App 4-Recyclables'!P61</f>
        <v>0.4</v>
      </c>
      <c r="I62" s="80">
        <f>'App 5-Organics'!F61+'App 5-Organics'!J61+'App 5-Organics'!N61</f>
        <v>85</v>
      </c>
      <c r="J62" s="80">
        <f>'App 5-Organics'!G61+'App 5-Organics'!K61+'App 5-Organics'!O61</f>
        <v>0</v>
      </c>
      <c r="K62" s="80">
        <f>'App 5-Organics'!H61+'App 5-Organics'!L61+'App 5-Organics'!P61</f>
        <v>85</v>
      </c>
      <c r="L62" s="212">
        <f>'App 6-Residual Waste'!F61+'App 6-Residual Waste'!P61+'App 6-Residual Waste'!W61</f>
        <v>6643</v>
      </c>
      <c r="M62" s="212">
        <f>'App 6-Residual Waste'!G61+'App 6-Residual Waste'!Q61+'App 6-Residual Waste'!X61</f>
        <v>41</v>
      </c>
      <c r="N62" s="212">
        <f>'App 6-Residual Waste'!H61+'App 6-Residual Waste'!R61+'App 6-Residual Waste'!Y61</f>
        <v>6602</v>
      </c>
      <c r="O62" s="211"/>
      <c r="P62" s="212">
        <f t="shared" si="4"/>
        <v>10965.66</v>
      </c>
      <c r="Q62" s="212">
        <f t="shared" si="5"/>
        <v>4278.26</v>
      </c>
      <c r="R62" s="212">
        <f t="shared" si="6"/>
        <v>6687.4</v>
      </c>
      <c r="S62" s="213">
        <f t="shared" si="7"/>
        <v>0.39015070684299896</v>
      </c>
      <c r="U62" s="406">
        <f>(P62*1000)/'App 1-Services'!G61/52</f>
        <v>12.374021647874482</v>
      </c>
      <c r="V62" s="406">
        <f>(P62*1000)/'App 1-Services'!H61/52</f>
        <v>31.176534140017285</v>
      </c>
    </row>
    <row r="63" spans="1:22" ht="15.75" x14ac:dyDescent="0.25">
      <c r="A63" s="376">
        <v>14300</v>
      </c>
      <c r="B63" s="376" t="s">
        <v>196</v>
      </c>
      <c r="C63" s="376" t="s">
        <v>142</v>
      </c>
      <c r="D63" s="404" t="s">
        <v>2</v>
      </c>
      <c r="E63" s="79"/>
      <c r="F63" s="80">
        <f>'App 4-Recyclables'!F62+'App 4-Recyclables'!J62+'App 4-Recyclables'!N62</f>
        <v>829.4</v>
      </c>
      <c r="G63" s="80">
        <f>'App 4-Recyclables'!G62+'App 4-Recyclables'!K62+'App 4-Recyclables'!O62</f>
        <v>685.4</v>
      </c>
      <c r="H63" s="80">
        <f>'App 4-Recyclables'!H62+'App 4-Recyclables'!L62+'App 4-Recyclables'!P62</f>
        <v>144</v>
      </c>
      <c r="I63" s="80">
        <f>'App 5-Organics'!F62+'App 5-Organics'!J62+'App 5-Organics'!N62</f>
        <v>475</v>
      </c>
      <c r="J63" s="80">
        <f>'App 5-Organics'!G62+'App 5-Organics'!K62+'App 5-Organics'!O62</f>
        <v>469</v>
      </c>
      <c r="K63" s="80">
        <f>'App 5-Organics'!H62+'App 5-Organics'!L62+'App 5-Organics'!P62</f>
        <v>6</v>
      </c>
      <c r="L63" s="212">
        <f>'App 6-Residual Waste'!F62+'App 6-Residual Waste'!P62+'App 6-Residual Waste'!W62</f>
        <v>1127</v>
      </c>
      <c r="M63" s="212">
        <f>'App 6-Residual Waste'!G62+'App 6-Residual Waste'!Q62+'App 6-Residual Waste'!X62</f>
        <v>0</v>
      </c>
      <c r="N63" s="212">
        <f>'App 6-Residual Waste'!H62+'App 6-Residual Waste'!R62+'App 6-Residual Waste'!Y62</f>
        <v>1127</v>
      </c>
      <c r="O63" s="211"/>
      <c r="P63" s="212">
        <f t="shared" si="4"/>
        <v>2431.4</v>
      </c>
      <c r="Q63" s="212">
        <f t="shared" si="5"/>
        <v>1154.4000000000001</v>
      </c>
      <c r="R63" s="212">
        <f t="shared" si="6"/>
        <v>1277</v>
      </c>
      <c r="S63" s="213">
        <f t="shared" si="7"/>
        <v>0.4747881878752982</v>
      </c>
      <c r="U63" s="406">
        <f>(P63*1000)/'App 1-Services'!G62/52</f>
        <v>7.3878483658859713</v>
      </c>
      <c r="V63" s="406">
        <f>(P63*1000)/'App 1-Services'!H62/52</f>
        <v>24.429306325858047</v>
      </c>
    </row>
    <row r="64" spans="1:22" ht="15.75" x14ac:dyDescent="0.25">
      <c r="A64" s="376">
        <v>14350</v>
      </c>
      <c r="B64" s="376" t="s">
        <v>197</v>
      </c>
      <c r="C64" s="376" t="s">
        <v>294</v>
      </c>
      <c r="D64" s="404" t="s">
        <v>5</v>
      </c>
      <c r="E64" s="79"/>
      <c r="F64" s="80">
        <f>'App 4-Recyclables'!F63+'App 4-Recyclables'!J63+'App 4-Recyclables'!N63</f>
        <v>4667.67</v>
      </c>
      <c r="G64" s="80">
        <f>'App 4-Recyclables'!G63+'App 4-Recyclables'!K63+'App 4-Recyclables'!O63</f>
        <v>4400.2700000000004</v>
      </c>
      <c r="H64" s="80">
        <f>'App 4-Recyclables'!H63+'App 4-Recyclables'!L63+'App 4-Recyclables'!P63</f>
        <v>267.39999999999998</v>
      </c>
      <c r="I64" s="80">
        <f>'App 5-Organics'!F63+'App 5-Organics'!J63+'App 5-Organics'!N63</f>
        <v>3154.9</v>
      </c>
      <c r="J64" s="80">
        <f>'App 5-Organics'!G63+'App 5-Organics'!K63+'App 5-Organics'!O63</f>
        <v>3133.6</v>
      </c>
      <c r="K64" s="80">
        <f>'App 5-Organics'!H63+'App 5-Organics'!L63+'App 5-Organics'!P63</f>
        <v>21.3</v>
      </c>
      <c r="L64" s="212">
        <f>'App 6-Residual Waste'!F63+'App 6-Residual Waste'!P63+'App 6-Residual Waste'!W63</f>
        <v>11680.849999999999</v>
      </c>
      <c r="M64" s="212">
        <f>'App 6-Residual Waste'!G63+'App 6-Residual Waste'!Q63+'App 6-Residual Waste'!X63</f>
        <v>18.2</v>
      </c>
      <c r="N64" s="212">
        <f>'App 6-Residual Waste'!H63+'App 6-Residual Waste'!R63+'App 6-Residual Waste'!Y63</f>
        <v>11662.65</v>
      </c>
      <c r="O64" s="211"/>
      <c r="P64" s="212">
        <f t="shared" si="4"/>
        <v>19503.419999999998</v>
      </c>
      <c r="Q64" s="212">
        <f t="shared" si="5"/>
        <v>7552.0700000000006</v>
      </c>
      <c r="R64" s="212">
        <f t="shared" si="6"/>
        <v>11951.35</v>
      </c>
      <c r="S64" s="213">
        <f t="shared" si="7"/>
        <v>0.38721772899317153</v>
      </c>
      <c r="U64" s="406">
        <f>(P64*1000)/'App 1-Services'!G63/52</f>
        <v>12.568385806272007</v>
      </c>
      <c r="V64" s="406">
        <f>(P64*1000)/'App 1-Services'!H63/52</f>
        <v>28.897894231510072</v>
      </c>
    </row>
    <row r="65" spans="1:22" ht="15.75" x14ac:dyDescent="0.25">
      <c r="A65" s="376">
        <v>14400</v>
      </c>
      <c r="B65" s="376" t="s">
        <v>198</v>
      </c>
      <c r="C65" s="376" t="s">
        <v>291</v>
      </c>
      <c r="D65" s="404" t="s">
        <v>3</v>
      </c>
      <c r="E65" s="79"/>
      <c r="F65" s="80">
        <f>'App 4-Recyclables'!F64+'App 4-Recyclables'!J64+'App 4-Recyclables'!N64</f>
        <v>3440.07</v>
      </c>
      <c r="G65" s="80">
        <f>'App 4-Recyclables'!G64+'App 4-Recyclables'!K64+'App 4-Recyclables'!O64</f>
        <v>3316.24</v>
      </c>
      <c r="H65" s="80">
        <f>'App 4-Recyclables'!H64+'App 4-Recyclables'!L64+'App 4-Recyclables'!P64</f>
        <v>123.83</v>
      </c>
      <c r="I65" s="80">
        <f>'App 5-Organics'!F64+'App 5-Organics'!J64+'App 5-Organics'!N64</f>
        <v>5692.61</v>
      </c>
      <c r="J65" s="80">
        <f>'App 5-Organics'!G64+'App 5-Organics'!K64+'App 5-Organics'!O64</f>
        <v>5671.03</v>
      </c>
      <c r="K65" s="80">
        <f>'App 5-Organics'!H64+'App 5-Organics'!L64+'App 5-Organics'!P64</f>
        <v>21.58</v>
      </c>
      <c r="L65" s="212">
        <f>'App 6-Residual Waste'!F64+'App 6-Residual Waste'!P64+'App 6-Residual Waste'!W64</f>
        <v>3599.91</v>
      </c>
      <c r="M65" s="212">
        <f>'App 6-Residual Waste'!G64+'App 6-Residual Waste'!Q64+'App 6-Residual Waste'!X64</f>
        <v>586.30999999999995</v>
      </c>
      <c r="N65" s="212">
        <f>'App 6-Residual Waste'!H64+'App 6-Residual Waste'!R64+'App 6-Residual Waste'!Y64</f>
        <v>3013.6</v>
      </c>
      <c r="O65" s="211"/>
      <c r="P65" s="212">
        <f t="shared" si="4"/>
        <v>12732.59</v>
      </c>
      <c r="Q65" s="212">
        <f t="shared" si="5"/>
        <v>9573.58</v>
      </c>
      <c r="R65" s="212">
        <f t="shared" si="6"/>
        <v>3159.0099999999998</v>
      </c>
      <c r="S65" s="213">
        <f t="shared" si="7"/>
        <v>0.75189572584996456</v>
      </c>
      <c r="U65" s="406">
        <f>(P65*1000)/'App 1-Services'!G64/52</f>
        <v>11.298855613492687</v>
      </c>
      <c r="V65" s="406">
        <f>(P65*1000)/'App 1-Services'!H64/52</f>
        <v>24.485749999999999</v>
      </c>
    </row>
    <row r="66" spans="1:22" ht="15.75" x14ac:dyDescent="0.25">
      <c r="A66" s="376">
        <v>14500</v>
      </c>
      <c r="B66" s="376" t="s">
        <v>199</v>
      </c>
      <c r="C66" s="376" t="s">
        <v>190</v>
      </c>
      <c r="D66" s="404" t="s">
        <v>4</v>
      </c>
      <c r="E66" s="79"/>
      <c r="F66" s="80">
        <f>'App 4-Recyclables'!F65+'App 4-Recyclables'!J65+'App 4-Recyclables'!N65</f>
        <v>12400.17</v>
      </c>
      <c r="G66" s="80">
        <f>'App 4-Recyclables'!G65+'App 4-Recyclables'!K65+'App 4-Recyclables'!O65</f>
        <v>11895.41</v>
      </c>
      <c r="H66" s="80">
        <f>'App 4-Recyclables'!H65+'App 4-Recyclables'!L65+'App 4-Recyclables'!P65</f>
        <v>504.76</v>
      </c>
      <c r="I66" s="80">
        <f>'App 5-Organics'!F65+'App 5-Organics'!J65+'App 5-Organics'!N65</f>
        <v>19349.13</v>
      </c>
      <c r="J66" s="80">
        <f>'App 5-Organics'!G65+'App 5-Organics'!K65+'App 5-Organics'!O65</f>
        <v>19349.13</v>
      </c>
      <c r="K66" s="80">
        <f>'App 5-Organics'!H65+'App 5-Organics'!L65+'App 5-Organics'!P65</f>
        <v>0</v>
      </c>
      <c r="L66" s="212">
        <f>'App 6-Residual Waste'!F65+'App 6-Residual Waste'!P65+'App 6-Residual Waste'!W65</f>
        <v>25692.440000000002</v>
      </c>
      <c r="M66" s="212">
        <f>'App 6-Residual Waste'!G65+'App 6-Residual Waste'!Q65+'App 6-Residual Waste'!X65</f>
        <v>55.809999999999782</v>
      </c>
      <c r="N66" s="212">
        <f>'App 6-Residual Waste'!H65+'App 6-Residual Waste'!R65+'App 6-Residual Waste'!Y65</f>
        <v>25636.63</v>
      </c>
      <c r="O66" s="211"/>
      <c r="P66" s="212">
        <f t="shared" si="4"/>
        <v>57441.740000000005</v>
      </c>
      <c r="Q66" s="212">
        <f t="shared" si="5"/>
        <v>31300.350000000002</v>
      </c>
      <c r="R66" s="212">
        <f t="shared" si="6"/>
        <v>26141.39</v>
      </c>
      <c r="S66" s="213">
        <f t="shared" si="7"/>
        <v>0.54490602130088672</v>
      </c>
      <c r="U66" s="406">
        <f>(P66*1000)/'App 1-Services'!G65/52</f>
        <v>8.8956171828879782</v>
      </c>
      <c r="V66" s="406">
        <f>(P66*1000)/'App 1-Services'!H65/52</f>
        <v>26.538747985629598</v>
      </c>
    </row>
    <row r="67" spans="1:22" ht="15.75" x14ac:dyDescent="0.25">
      <c r="A67" s="376">
        <v>14550</v>
      </c>
      <c r="B67" s="376" t="s">
        <v>200</v>
      </c>
      <c r="C67" s="376" t="s">
        <v>131</v>
      </c>
      <c r="D67" s="404" t="s">
        <v>5</v>
      </c>
      <c r="E67" s="79"/>
      <c r="F67" s="80">
        <f>'App 4-Recyclables'!F66+'App 4-Recyclables'!J66+'App 4-Recyclables'!N66</f>
        <v>2032.55</v>
      </c>
      <c r="G67" s="80">
        <f>'App 4-Recyclables'!G66+'App 4-Recyclables'!K66+'App 4-Recyclables'!O66</f>
        <v>2014.29</v>
      </c>
      <c r="H67" s="80">
        <f>'App 4-Recyclables'!H66+'App 4-Recyclables'!L66+'App 4-Recyclables'!P66</f>
        <v>18.260000000000002</v>
      </c>
      <c r="I67" s="80">
        <f>'App 5-Organics'!F66+'App 5-Organics'!J66+'App 5-Organics'!N66</f>
        <v>0</v>
      </c>
      <c r="J67" s="80">
        <f>'App 5-Organics'!G66+'App 5-Organics'!K66+'App 5-Organics'!O66</f>
        <v>0</v>
      </c>
      <c r="K67" s="80">
        <f>'App 5-Organics'!H66+'App 5-Organics'!L66+'App 5-Organics'!P66</f>
        <v>0</v>
      </c>
      <c r="L67" s="212">
        <f>'App 6-Residual Waste'!F66+'App 6-Residual Waste'!P66+'App 6-Residual Waste'!W66</f>
        <v>2647.29</v>
      </c>
      <c r="M67" s="212">
        <f>'App 6-Residual Waste'!G66+'App 6-Residual Waste'!Q66+'App 6-Residual Waste'!X66</f>
        <v>0</v>
      </c>
      <c r="N67" s="212">
        <f>'App 6-Residual Waste'!H66+'App 6-Residual Waste'!R66+'App 6-Residual Waste'!Y66</f>
        <v>2647.29</v>
      </c>
      <c r="O67" s="211"/>
      <c r="P67" s="212">
        <f t="shared" si="4"/>
        <v>4679.84</v>
      </c>
      <c r="Q67" s="212">
        <f t="shared" si="5"/>
        <v>2014.29</v>
      </c>
      <c r="R67" s="212">
        <f t="shared" si="6"/>
        <v>2665.55</v>
      </c>
      <c r="S67" s="213">
        <f t="shared" si="7"/>
        <v>0.43041856131833567</v>
      </c>
      <c r="U67" s="406">
        <f>(P67*1000)/'App 1-Services'!G66/52</f>
        <v>9.4316624478016227</v>
      </c>
      <c r="V67" s="406">
        <f>(P67*1000)/'App 1-Services'!H66/52</f>
        <v>22.376161878896838</v>
      </c>
    </row>
    <row r="68" spans="1:22" ht="15.75" x14ac:dyDescent="0.25">
      <c r="A68" s="376">
        <v>14600</v>
      </c>
      <c r="B68" s="376" t="s">
        <v>201</v>
      </c>
      <c r="C68" s="376" t="s">
        <v>293</v>
      </c>
      <c r="D68" s="404" t="s">
        <v>2</v>
      </c>
      <c r="E68" s="79"/>
      <c r="F68" s="80">
        <f>'App 4-Recyclables'!F67+'App 4-Recyclables'!J67+'App 4-Recyclables'!N67</f>
        <v>58</v>
      </c>
      <c r="G68" s="80">
        <f>'App 4-Recyclables'!G67+'App 4-Recyclables'!K67+'App 4-Recyclables'!O67</f>
        <v>55.59</v>
      </c>
      <c r="H68" s="80">
        <f>'App 4-Recyclables'!H67+'App 4-Recyclables'!L67+'App 4-Recyclables'!P67</f>
        <v>2.41</v>
      </c>
      <c r="I68" s="80">
        <f>'App 5-Organics'!F67+'App 5-Organics'!J67+'App 5-Organics'!N67</f>
        <v>225</v>
      </c>
      <c r="J68" s="80">
        <f>'App 5-Organics'!G67+'App 5-Organics'!K67+'App 5-Organics'!O67</f>
        <v>225</v>
      </c>
      <c r="K68" s="80">
        <f>'App 5-Organics'!H67+'App 5-Organics'!L67+'App 5-Organics'!P67</f>
        <v>0</v>
      </c>
      <c r="L68" s="212">
        <f>'App 6-Residual Waste'!F67+'App 6-Residual Waste'!P67+'App 6-Residual Waste'!W67</f>
        <v>3041</v>
      </c>
      <c r="M68" s="212">
        <f>'App 6-Residual Waste'!G67+'App 6-Residual Waste'!Q67+'App 6-Residual Waste'!X67</f>
        <v>300</v>
      </c>
      <c r="N68" s="212">
        <f>'App 6-Residual Waste'!H67+'App 6-Residual Waste'!R67+'App 6-Residual Waste'!Y67</f>
        <v>2741</v>
      </c>
      <c r="O68" s="211"/>
      <c r="P68" s="212">
        <f t="shared" si="4"/>
        <v>3324</v>
      </c>
      <c r="Q68" s="212">
        <f t="shared" si="5"/>
        <v>580.59</v>
      </c>
      <c r="R68" s="212">
        <f t="shared" si="6"/>
        <v>2743.41</v>
      </c>
      <c r="S68" s="213">
        <f t="shared" si="7"/>
        <v>0.17466606498194948</v>
      </c>
      <c r="U68" s="406">
        <f>(P68*1000)/'App 1-Services'!G67/52</f>
        <v>9.4714886535897058</v>
      </c>
      <c r="V68" s="406">
        <f>(P68*1000)/'App 1-Services'!H67/52</f>
        <v>15.351363334072268</v>
      </c>
    </row>
    <row r="69" spans="1:22" ht="15.75" x14ac:dyDescent="0.25">
      <c r="A69" s="376">
        <v>14650</v>
      </c>
      <c r="B69" s="376" t="s">
        <v>202</v>
      </c>
      <c r="C69" s="376" t="s">
        <v>163</v>
      </c>
      <c r="D69" s="404" t="s">
        <v>3</v>
      </c>
      <c r="E69" s="79"/>
      <c r="F69" s="80">
        <f>'App 4-Recyclables'!F68+'App 4-Recyclables'!J68+'App 4-Recyclables'!N68</f>
        <v>22189.360000000001</v>
      </c>
      <c r="G69" s="80">
        <f>'App 4-Recyclables'!G68+'App 4-Recyclables'!K68+'App 4-Recyclables'!O68</f>
        <v>21785.360000000001</v>
      </c>
      <c r="H69" s="80">
        <f>'App 4-Recyclables'!H68+'App 4-Recyclables'!L68+'App 4-Recyclables'!P68</f>
        <v>404</v>
      </c>
      <c r="I69" s="80">
        <f>'App 5-Organics'!F68+'App 5-Organics'!J68+'App 5-Organics'!N68</f>
        <v>22960.68</v>
      </c>
      <c r="J69" s="80">
        <f>'App 5-Organics'!G68+'App 5-Organics'!K68+'App 5-Organics'!O68</f>
        <v>22899.68</v>
      </c>
      <c r="K69" s="80">
        <f>'App 5-Organics'!H68+'App 5-Organics'!L68+'App 5-Organics'!P68</f>
        <v>61</v>
      </c>
      <c r="L69" s="212">
        <f>'App 6-Residual Waste'!F68+'App 6-Residual Waste'!P68+'App 6-Residual Waste'!W68</f>
        <v>65980.75</v>
      </c>
      <c r="M69" s="212">
        <f>'App 6-Residual Waste'!G68+'App 6-Residual Waste'!Q68+'App 6-Residual Waste'!X68</f>
        <v>2682.05</v>
      </c>
      <c r="N69" s="212">
        <f>'App 6-Residual Waste'!H68+'App 6-Residual Waste'!R68+'App 6-Residual Waste'!Y68</f>
        <v>63298.7</v>
      </c>
      <c r="O69" s="211"/>
      <c r="P69" s="212">
        <f t="shared" si="4"/>
        <v>111130.79000000001</v>
      </c>
      <c r="Q69" s="212">
        <f t="shared" si="5"/>
        <v>47367.090000000004</v>
      </c>
      <c r="R69" s="212">
        <f t="shared" si="6"/>
        <v>63763.7</v>
      </c>
      <c r="S69" s="213">
        <f t="shared" si="7"/>
        <v>0.42622832070212047</v>
      </c>
      <c r="U69" s="406">
        <f>(P69*1000)/'App 1-Services'!G68/52</f>
        <v>10.387126858696451</v>
      </c>
      <c r="V69" s="406">
        <f>(P69*1000)/'App 1-Services'!H68/52</f>
        <v>27.491806693377377</v>
      </c>
    </row>
    <row r="70" spans="1:22" ht="15.75" x14ac:dyDescent="0.25">
      <c r="A70" s="376">
        <v>14700</v>
      </c>
      <c r="B70" s="376" t="s">
        <v>203</v>
      </c>
      <c r="C70" s="376" t="s">
        <v>190</v>
      </c>
      <c r="D70" s="404" t="s">
        <v>4</v>
      </c>
      <c r="E70" s="79"/>
      <c r="F70" s="80">
        <f>'App 4-Recyclables'!F69+'App 4-Recyclables'!J69+'App 4-Recyclables'!N69</f>
        <v>3092</v>
      </c>
      <c r="G70" s="80">
        <f>'App 4-Recyclables'!G69+'App 4-Recyclables'!K69+'App 4-Recyclables'!O69</f>
        <v>2967.3</v>
      </c>
      <c r="H70" s="80">
        <f>'App 4-Recyclables'!H69+'App 4-Recyclables'!L69+'App 4-Recyclables'!P69</f>
        <v>124.7</v>
      </c>
      <c r="I70" s="80">
        <f>'App 5-Organics'!F69+'App 5-Organics'!J69+'App 5-Organics'!N69</f>
        <v>2950</v>
      </c>
      <c r="J70" s="80">
        <f>'App 5-Organics'!G69+'App 5-Organics'!K69+'App 5-Organics'!O69</f>
        <v>2655</v>
      </c>
      <c r="K70" s="80">
        <f>'App 5-Organics'!H69+'App 5-Organics'!L69+'App 5-Organics'!P69</f>
        <v>295</v>
      </c>
      <c r="L70" s="212">
        <f>'App 6-Residual Waste'!F69+'App 6-Residual Waste'!P69+'App 6-Residual Waste'!W69</f>
        <v>7889</v>
      </c>
      <c r="M70" s="212">
        <f>'App 6-Residual Waste'!G69+'App 6-Residual Waste'!Q69+'App 6-Residual Waste'!X69</f>
        <v>0</v>
      </c>
      <c r="N70" s="212">
        <f>'App 6-Residual Waste'!H69+'App 6-Residual Waste'!R69+'App 6-Residual Waste'!Y69</f>
        <v>7889</v>
      </c>
      <c r="O70" s="211"/>
      <c r="P70" s="212">
        <f t="shared" ref="P70:P101" si="8">F70+I70+L70</f>
        <v>13931</v>
      </c>
      <c r="Q70" s="212">
        <f t="shared" ref="Q70:Q101" si="9">G70+J70+M70</f>
        <v>5622.3</v>
      </c>
      <c r="R70" s="212">
        <f t="shared" ref="R70:R101" si="10">H70+K70+N70</f>
        <v>8308.7000000000007</v>
      </c>
      <c r="S70" s="213">
        <f t="shared" ref="S70:S101" si="11">Q70/P70</f>
        <v>0.40358193955925636</v>
      </c>
      <c r="U70" s="406">
        <f>(P70*1000)/'App 1-Services'!G69/52</f>
        <v>7.2414273476550477</v>
      </c>
      <c r="V70" s="406">
        <f>(P70*1000)/'App 1-Services'!H69/52</f>
        <v>16.804908176756125</v>
      </c>
    </row>
    <row r="71" spans="1:22" ht="15.75" x14ac:dyDescent="0.25">
      <c r="A71" s="376">
        <v>14750</v>
      </c>
      <c r="B71" s="376" t="s">
        <v>204</v>
      </c>
      <c r="C71" s="376" t="s">
        <v>705</v>
      </c>
      <c r="D71" s="404" t="s">
        <v>2</v>
      </c>
      <c r="E71" s="79"/>
      <c r="F71" s="80">
        <f>'App 4-Recyclables'!F70+'App 4-Recyclables'!J70+'App 4-Recyclables'!N70</f>
        <v>698.2</v>
      </c>
      <c r="G71" s="80">
        <f>'App 4-Recyclables'!G70+'App 4-Recyclables'!K70+'App 4-Recyclables'!O70</f>
        <v>654.1</v>
      </c>
      <c r="H71" s="80">
        <f>'App 4-Recyclables'!H70+'App 4-Recyclables'!L70+'App 4-Recyclables'!P70</f>
        <v>44.099999999999994</v>
      </c>
      <c r="I71" s="80">
        <f>'App 5-Organics'!F70+'App 5-Organics'!J70+'App 5-Organics'!N70</f>
        <v>1722</v>
      </c>
      <c r="J71" s="80">
        <f>'App 5-Organics'!G70+'App 5-Organics'!K70+'App 5-Organics'!O70</f>
        <v>1722</v>
      </c>
      <c r="K71" s="80">
        <f>'App 5-Organics'!H70+'App 5-Organics'!L70+'App 5-Organics'!P70</f>
        <v>0</v>
      </c>
      <c r="L71" s="212">
        <f>'App 6-Residual Waste'!F70+'App 6-Residual Waste'!P70+'App 6-Residual Waste'!W70</f>
        <v>3701.36</v>
      </c>
      <c r="M71" s="212">
        <f>'App 6-Residual Waste'!G70+'App 6-Residual Waste'!Q70+'App 6-Residual Waste'!X70</f>
        <v>5.2400000000000091</v>
      </c>
      <c r="N71" s="212">
        <f>'App 6-Residual Waste'!H70+'App 6-Residual Waste'!R70+'App 6-Residual Waste'!Y70</f>
        <v>3696.1200000000003</v>
      </c>
      <c r="O71" s="211"/>
      <c r="P71" s="212">
        <f t="shared" si="8"/>
        <v>6121.5599999999995</v>
      </c>
      <c r="Q71" s="212">
        <f t="shared" si="9"/>
        <v>2381.34</v>
      </c>
      <c r="R71" s="212">
        <f t="shared" si="10"/>
        <v>3740.2200000000003</v>
      </c>
      <c r="S71" s="213">
        <f t="shared" si="11"/>
        <v>0.3890086840609257</v>
      </c>
      <c r="U71" s="406">
        <f>(P71*1000)/'App 1-Services'!G70/52</f>
        <v>10.051426544766706</v>
      </c>
      <c r="V71" s="406">
        <f>(P71*1000)/'App 1-Services'!H70/52</f>
        <v>30.890135841592148</v>
      </c>
    </row>
    <row r="72" spans="1:22" ht="15.75" x14ac:dyDescent="0.25">
      <c r="A72" s="376">
        <v>14850</v>
      </c>
      <c r="B72" s="376" t="s">
        <v>205</v>
      </c>
      <c r="C72" s="376" t="s">
        <v>131</v>
      </c>
      <c r="D72" s="404" t="s">
        <v>5</v>
      </c>
      <c r="E72" s="79"/>
      <c r="F72" s="80">
        <f>'App 4-Recyclables'!F71+'App 4-Recyclables'!J71+'App 4-Recyclables'!N71</f>
        <v>8893</v>
      </c>
      <c r="G72" s="80">
        <f>'App 4-Recyclables'!G71+'App 4-Recyclables'!K71+'App 4-Recyclables'!O71</f>
        <v>8765.1</v>
      </c>
      <c r="H72" s="80">
        <f>'App 4-Recyclables'!H71+'App 4-Recyclables'!L71+'App 4-Recyclables'!P71</f>
        <v>127.9</v>
      </c>
      <c r="I72" s="80">
        <f>'App 5-Organics'!F71+'App 5-Organics'!J71+'App 5-Organics'!N71</f>
        <v>7410</v>
      </c>
      <c r="J72" s="80">
        <f>'App 5-Organics'!G71+'App 5-Organics'!K71+'App 5-Organics'!O71</f>
        <v>7410</v>
      </c>
      <c r="K72" s="80">
        <f>'App 5-Organics'!H71+'App 5-Organics'!L71+'App 5-Organics'!P71</f>
        <v>0</v>
      </c>
      <c r="L72" s="212">
        <f>'App 6-Residual Waste'!F71+'App 6-Residual Waste'!P71+'App 6-Residual Waste'!W71</f>
        <v>13960.2</v>
      </c>
      <c r="M72" s="212">
        <f>'App 6-Residual Waste'!G71+'App 6-Residual Waste'!Q71+'App 6-Residual Waste'!X71</f>
        <v>7113.2</v>
      </c>
      <c r="N72" s="212">
        <f>'App 6-Residual Waste'!H71+'App 6-Residual Waste'!R71+'App 6-Residual Waste'!Y71</f>
        <v>6847</v>
      </c>
      <c r="O72" s="211"/>
      <c r="P72" s="212">
        <f t="shared" si="8"/>
        <v>30263.200000000001</v>
      </c>
      <c r="Q72" s="212">
        <f t="shared" si="9"/>
        <v>23288.3</v>
      </c>
      <c r="R72" s="212">
        <f t="shared" si="10"/>
        <v>6974.9</v>
      </c>
      <c r="S72" s="213">
        <f t="shared" si="11"/>
        <v>0.76952536413862371</v>
      </c>
      <c r="U72" s="406">
        <f>(P72*1000)/'App 1-Services'!G71/52</f>
        <v>12.935003564657068</v>
      </c>
      <c r="V72" s="406">
        <f>(P72*1000)/'App 1-Services'!H71/52</f>
        <v>35.938286734878062</v>
      </c>
    </row>
    <row r="73" spans="1:22" ht="15.75" x14ac:dyDescent="0.25">
      <c r="A73" s="376">
        <v>14870</v>
      </c>
      <c r="B73" s="376" t="s">
        <v>206</v>
      </c>
      <c r="C73" s="376" t="s">
        <v>293</v>
      </c>
      <c r="D73" s="404" t="s">
        <v>2</v>
      </c>
      <c r="E73" s="79"/>
      <c r="F73" s="80">
        <f>'App 4-Recyclables'!F72+'App 4-Recyclables'!J72+'App 4-Recyclables'!N72</f>
        <v>1573</v>
      </c>
      <c r="G73" s="80">
        <f>'App 4-Recyclables'!G72+'App 4-Recyclables'!K72+'App 4-Recyclables'!O72</f>
        <v>1400</v>
      </c>
      <c r="H73" s="80">
        <f>'App 4-Recyclables'!H72+'App 4-Recyclables'!L72+'App 4-Recyclables'!P72</f>
        <v>173</v>
      </c>
      <c r="I73" s="80">
        <f>'App 5-Organics'!F72+'App 5-Organics'!J72+'App 5-Organics'!N72</f>
        <v>214</v>
      </c>
      <c r="J73" s="80">
        <f>'App 5-Organics'!G72+'App 5-Organics'!K72+'App 5-Organics'!O72</f>
        <v>0</v>
      </c>
      <c r="K73" s="80">
        <f>'App 5-Organics'!H72+'App 5-Organics'!L72+'App 5-Organics'!P72</f>
        <v>214</v>
      </c>
      <c r="L73" s="212">
        <f>'App 6-Residual Waste'!F72+'App 6-Residual Waste'!P72+'App 6-Residual Waste'!W72</f>
        <v>5534</v>
      </c>
      <c r="M73" s="212">
        <f>'App 6-Residual Waste'!G72+'App 6-Residual Waste'!Q72+'App 6-Residual Waste'!X72</f>
        <v>8</v>
      </c>
      <c r="N73" s="212">
        <f>'App 6-Residual Waste'!H72+'App 6-Residual Waste'!R72+'App 6-Residual Waste'!Y72</f>
        <v>5526</v>
      </c>
      <c r="O73" s="211"/>
      <c r="P73" s="212">
        <f t="shared" si="8"/>
        <v>7321</v>
      </c>
      <c r="Q73" s="212">
        <f t="shared" si="9"/>
        <v>1408</v>
      </c>
      <c r="R73" s="212">
        <f t="shared" si="10"/>
        <v>5913</v>
      </c>
      <c r="S73" s="213">
        <f t="shared" si="11"/>
        <v>0.19232345308018031</v>
      </c>
      <c r="U73" s="406">
        <f>(P73*1000)/'App 1-Services'!G72/52</f>
        <v>6.5562289996489493</v>
      </c>
      <c r="V73" s="406">
        <f>(P73*1000)/'App 1-Services'!H72/52</f>
        <v>12.417398265872425</v>
      </c>
    </row>
    <row r="74" spans="1:22" ht="15.75" x14ac:dyDescent="0.25">
      <c r="A74" s="376">
        <v>14900</v>
      </c>
      <c r="B74" s="376" t="s">
        <v>207</v>
      </c>
      <c r="C74" s="376" t="s">
        <v>129</v>
      </c>
      <c r="D74" s="404" t="s">
        <v>4</v>
      </c>
      <c r="E74" s="79"/>
      <c r="F74" s="80">
        <f>'App 4-Recyclables'!F73+'App 4-Recyclables'!J73+'App 4-Recyclables'!N73</f>
        <v>17481.259999999998</v>
      </c>
      <c r="G74" s="80">
        <f>'App 4-Recyclables'!G73+'App 4-Recyclables'!K73+'App 4-Recyclables'!O73</f>
        <v>14180.26</v>
      </c>
      <c r="H74" s="80">
        <f>'App 4-Recyclables'!H73+'App 4-Recyclables'!L73+'App 4-Recyclables'!P73</f>
        <v>3301</v>
      </c>
      <c r="I74" s="80">
        <f>'App 5-Organics'!F73+'App 5-Organics'!J73+'App 5-Organics'!N73</f>
        <v>16091</v>
      </c>
      <c r="J74" s="80">
        <f>'App 5-Organics'!G73+'App 5-Organics'!K73+'App 5-Organics'!O73</f>
        <v>15608</v>
      </c>
      <c r="K74" s="80">
        <f>'App 5-Organics'!H73+'App 5-Organics'!L73+'App 5-Organics'!P73</f>
        <v>483</v>
      </c>
      <c r="L74" s="212">
        <f>'App 6-Residual Waste'!F73+'App 6-Residual Waste'!P73+'App 6-Residual Waste'!W73</f>
        <v>51382.26</v>
      </c>
      <c r="M74" s="212">
        <f>'App 6-Residual Waste'!G73+'App 6-Residual Waste'!Q73+'App 6-Residual Waste'!X73</f>
        <v>25734.26</v>
      </c>
      <c r="N74" s="212">
        <f>'App 6-Residual Waste'!H73+'App 6-Residual Waste'!R73+'App 6-Residual Waste'!Y73</f>
        <v>25648</v>
      </c>
      <c r="O74" s="211"/>
      <c r="P74" s="212">
        <f t="shared" si="8"/>
        <v>84954.51999999999</v>
      </c>
      <c r="Q74" s="212">
        <f t="shared" si="9"/>
        <v>55522.520000000004</v>
      </c>
      <c r="R74" s="212">
        <f t="shared" si="10"/>
        <v>29432</v>
      </c>
      <c r="S74" s="213">
        <f t="shared" si="11"/>
        <v>0.65355580844903849</v>
      </c>
      <c r="U74" s="406">
        <f>(P74*1000)/'App 1-Services'!G73/52</f>
        <v>7.7755339709145508</v>
      </c>
      <c r="V74" s="406">
        <f>(P74*1000)/'App 1-Services'!H73/52</f>
        <v>25.558748599533313</v>
      </c>
    </row>
    <row r="75" spans="1:22" ht="15.75" x14ac:dyDescent="0.25">
      <c r="A75" s="376">
        <v>14920</v>
      </c>
      <c r="B75" s="376" t="s">
        <v>208</v>
      </c>
      <c r="C75" s="376" t="s">
        <v>125</v>
      </c>
      <c r="D75" s="404" t="s">
        <v>2</v>
      </c>
      <c r="E75" s="79"/>
      <c r="F75" s="80">
        <f>'App 4-Recyclables'!F74+'App 4-Recyclables'!J74+'App 4-Recyclables'!N74</f>
        <v>915.66000000000008</v>
      </c>
      <c r="G75" s="80">
        <f>'App 4-Recyclables'!G74+'App 4-Recyclables'!K74+'App 4-Recyclables'!O74</f>
        <v>870.66000000000008</v>
      </c>
      <c r="H75" s="80">
        <f>'App 4-Recyclables'!H74+'App 4-Recyclables'!L74+'App 4-Recyclables'!P74</f>
        <v>45</v>
      </c>
      <c r="I75" s="80">
        <f>'App 5-Organics'!F74+'App 5-Organics'!J74+'App 5-Organics'!N74</f>
        <v>25.5</v>
      </c>
      <c r="J75" s="80">
        <f>'App 5-Organics'!G74+'App 5-Organics'!K74+'App 5-Organics'!O74</f>
        <v>25</v>
      </c>
      <c r="K75" s="80">
        <f>'App 5-Organics'!H74+'App 5-Organics'!L74+'App 5-Organics'!P74</f>
        <v>0.5</v>
      </c>
      <c r="L75" s="212">
        <f>'App 6-Residual Waste'!F74+'App 6-Residual Waste'!P74+'App 6-Residual Waste'!W74</f>
        <v>2460</v>
      </c>
      <c r="M75" s="212">
        <f>'App 6-Residual Waste'!G74+'App 6-Residual Waste'!Q74+'App 6-Residual Waste'!X74</f>
        <v>0</v>
      </c>
      <c r="N75" s="212">
        <f>'App 6-Residual Waste'!H74+'App 6-Residual Waste'!R74+'App 6-Residual Waste'!Y74</f>
        <v>2460</v>
      </c>
      <c r="O75" s="211"/>
      <c r="P75" s="212">
        <f t="shared" si="8"/>
        <v>3401.16</v>
      </c>
      <c r="Q75" s="212">
        <f t="shared" si="9"/>
        <v>895.66000000000008</v>
      </c>
      <c r="R75" s="212">
        <f t="shared" si="10"/>
        <v>2505.5</v>
      </c>
      <c r="S75" s="213">
        <f t="shared" si="11"/>
        <v>0.26333956650084095</v>
      </c>
      <c r="U75" s="406">
        <f>(P75*1000)/'App 1-Services'!G74/52</f>
        <v>8.4526910153687105</v>
      </c>
      <c r="V75" s="406">
        <f>(P75*1000)/'App 1-Services'!H74/52</f>
        <v>22.554111405835542</v>
      </c>
    </row>
    <row r="76" spans="1:22" ht="15.75" x14ac:dyDescent="0.25">
      <c r="A76" s="376">
        <v>14950</v>
      </c>
      <c r="B76" s="376" t="s">
        <v>209</v>
      </c>
      <c r="C76" s="376" t="s">
        <v>142</v>
      </c>
      <c r="D76" s="404" t="s">
        <v>2</v>
      </c>
      <c r="E76" s="79"/>
      <c r="F76" s="80">
        <f>'App 4-Recyclables'!F75+'App 4-Recyclables'!J75+'App 4-Recyclables'!N75</f>
        <v>417.95</v>
      </c>
      <c r="G76" s="80">
        <f>'App 4-Recyclables'!G75+'App 4-Recyclables'!K75+'App 4-Recyclables'!O75</f>
        <v>409.14</v>
      </c>
      <c r="H76" s="80">
        <f>'App 4-Recyclables'!H75+'App 4-Recyclables'!L75+'App 4-Recyclables'!P75</f>
        <v>8.81</v>
      </c>
      <c r="I76" s="80">
        <f>'App 5-Organics'!F75+'App 5-Organics'!J75+'App 5-Organics'!N75</f>
        <v>0</v>
      </c>
      <c r="J76" s="80">
        <f>'App 5-Organics'!G75+'App 5-Organics'!K75+'App 5-Organics'!O75</f>
        <v>0</v>
      </c>
      <c r="K76" s="80">
        <f>'App 5-Organics'!H75+'App 5-Organics'!L75+'App 5-Organics'!P75</f>
        <v>0</v>
      </c>
      <c r="L76" s="212">
        <f>'App 6-Residual Waste'!F75+'App 6-Residual Waste'!P75+'App 6-Residual Waste'!W75</f>
        <v>699.7</v>
      </c>
      <c r="M76" s="212">
        <f>'App 6-Residual Waste'!G75+'App 6-Residual Waste'!Q75+'App 6-Residual Waste'!X75</f>
        <v>0</v>
      </c>
      <c r="N76" s="212">
        <f>'App 6-Residual Waste'!H75+'App 6-Residual Waste'!R75+'App 6-Residual Waste'!Y75</f>
        <v>699.7</v>
      </c>
      <c r="O76" s="211"/>
      <c r="P76" s="212">
        <f t="shared" si="8"/>
        <v>1117.6500000000001</v>
      </c>
      <c r="Q76" s="212">
        <f t="shared" si="9"/>
        <v>409.14</v>
      </c>
      <c r="R76" s="212">
        <f t="shared" si="10"/>
        <v>708.51</v>
      </c>
      <c r="S76" s="213">
        <f t="shared" si="11"/>
        <v>0.36607166823245196</v>
      </c>
      <c r="U76" s="406">
        <f>(P76*1000)/'App 1-Services'!G75/52</f>
        <v>6.9266094846178641</v>
      </c>
      <c r="V76" s="406">
        <f>(P76*1000)/'App 1-Services'!H75/52</f>
        <v>9.6080774388776184</v>
      </c>
    </row>
    <row r="77" spans="1:22" ht="15.75" x14ac:dyDescent="0.25">
      <c r="A77" s="376">
        <v>15050</v>
      </c>
      <c r="B77" s="376" t="s">
        <v>210</v>
      </c>
      <c r="C77" s="376" t="s">
        <v>163</v>
      </c>
      <c r="D77" s="404" t="s">
        <v>3</v>
      </c>
      <c r="E77" s="79"/>
      <c r="F77" s="80">
        <f>'App 4-Recyclables'!F76+'App 4-Recyclables'!J76+'App 4-Recyclables'!N76</f>
        <v>9097</v>
      </c>
      <c r="G77" s="80">
        <f>'App 4-Recyclables'!G76+'App 4-Recyclables'!K76+'App 4-Recyclables'!O76</f>
        <v>8954</v>
      </c>
      <c r="H77" s="80">
        <f>'App 4-Recyclables'!H76+'App 4-Recyclables'!L76+'App 4-Recyclables'!P76</f>
        <v>143</v>
      </c>
      <c r="I77" s="80">
        <f>'App 5-Organics'!F76+'App 5-Organics'!J76+'App 5-Organics'!N76</f>
        <v>5505</v>
      </c>
      <c r="J77" s="80">
        <f>'App 5-Organics'!G76+'App 5-Organics'!K76+'App 5-Organics'!O76</f>
        <v>5497</v>
      </c>
      <c r="K77" s="80">
        <f>'App 5-Organics'!H76+'App 5-Organics'!L76+'App 5-Organics'!P76</f>
        <v>8</v>
      </c>
      <c r="L77" s="212">
        <f>'App 6-Residual Waste'!F76+'App 6-Residual Waste'!P76+'App 6-Residual Waste'!W76</f>
        <v>29080</v>
      </c>
      <c r="M77" s="212">
        <f>'App 6-Residual Waste'!G76+'App 6-Residual Waste'!Q76+'App 6-Residual Waste'!X76</f>
        <v>468</v>
      </c>
      <c r="N77" s="212">
        <f>'App 6-Residual Waste'!H76+'App 6-Residual Waste'!R76+'App 6-Residual Waste'!Y76</f>
        <v>28612</v>
      </c>
      <c r="O77" s="211"/>
      <c r="P77" s="212">
        <f t="shared" si="8"/>
        <v>43682</v>
      </c>
      <c r="Q77" s="212">
        <f t="shared" si="9"/>
        <v>14919</v>
      </c>
      <c r="R77" s="212">
        <f t="shared" si="10"/>
        <v>28763</v>
      </c>
      <c r="S77" s="213">
        <f t="shared" si="11"/>
        <v>0.34153655968133328</v>
      </c>
      <c r="U77" s="406">
        <f>(P77*1000)/'App 1-Services'!G76/52</f>
        <v>10.756485114966985</v>
      </c>
      <c r="V77" s="406">
        <f>(P77*1000)/'App 1-Services'!H76/52</f>
        <v>28.897091900187874</v>
      </c>
    </row>
    <row r="78" spans="1:22" ht="15.75" x14ac:dyDescent="0.25">
      <c r="A78" s="376">
        <v>15240</v>
      </c>
      <c r="B78" s="376" t="s">
        <v>180</v>
      </c>
      <c r="C78" s="376" t="s">
        <v>294</v>
      </c>
      <c r="D78" s="404" t="s">
        <v>5</v>
      </c>
      <c r="E78" s="79"/>
      <c r="F78" s="80">
        <f>'App 4-Recyclables'!F77+'App 4-Recyclables'!J77+'App 4-Recyclables'!N77</f>
        <v>18594.59</v>
      </c>
      <c r="G78" s="80">
        <f>'App 4-Recyclables'!G77+'App 4-Recyclables'!K77+'App 4-Recyclables'!O77</f>
        <v>17727.95</v>
      </c>
      <c r="H78" s="80">
        <f>'App 4-Recyclables'!H77+'App 4-Recyclables'!L77+'App 4-Recyclables'!P77</f>
        <v>866.64</v>
      </c>
      <c r="I78" s="80">
        <f>'App 5-Organics'!F77+'App 5-Organics'!J77+'App 5-Organics'!N77</f>
        <v>14517.74</v>
      </c>
      <c r="J78" s="80">
        <f>'App 5-Organics'!G77+'App 5-Organics'!K77+'App 5-Organics'!O77</f>
        <v>14517.74</v>
      </c>
      <c r="K78" s="80">
        <f>'App 5-Organics'!H77+'App 5-Organics'!L77+'App 5-Organics'!P77</f>
        <v>0</v>
      </c>
      <c r="L78" s="212">
        <f>'App 6-Residual Waste'!F77+'App 6-Residual Waste'!P77+'App 6-Residual Waste'!W77</f>
        <v>33118.47</v>
      </c>
      <c r="M78" s="212">
        <f>'App 6-Residual Waste'!G77+'App 6-Residual Waste'!Q77+'App 6-Residual Waste'!X77</f>
        <v>3479.54</v>
      </c>
      <c r="N78" s="212">
        <f>'App 6-Residual Waste'!H77+'App 6-Residual Waste'!R77+'App 6-Residual Waste'!Y77</f>
        <v>29638.93</v>
      </c>
      <c r="O78" s="211"/>
      <c r="P78" s="212">
        <f t="shared" si="8"/>
        <v>66230.8</v>
      </c>
      <c r="Q78" s="212">
        <f t="shared" si="9"/>
        <v>35725.230000000003</v>
      </c>
      <c r="R78" s="212">
        <f t="shared" si="10"/>
        <v>30505.57</v>
      </c>
      <c r="S78" s="213">
        <f t="shared" si="11"/>
        <v>0.5394050804157583</v>
      </c>
      <c r="U78" s="406">
        <f>(P78*1000)/'App 1-Services'!G77/52</f>
        <v>13.897403443274603</v>
      </c>
      <c r="V78" s="406">
        <f>(P78*1000)/'App 1-Services'!H77/52</f>
        <v>19.088050096952173</v>
      </c>
    </row>
    <row r="79" spans="1:22" ht="15.75" x14ac:dyDescent="0.25">
      <c r="A79" s="376">
        <v>15270</v>
      </c>
      <c r="B79" s="376" t="s">
        <v>212</v>
      </c>
      <c r="C79" s="376" t="s">
        <v>293</v>
      </c>
      <c r="D79" s="404" t="s">
        <v>2</v>
      </c>
      <c r="E79" s="79"/>
      <c r="F79" s="80">
        <f>'App 4-Recyclables'!F78+'App 4-Recyclables'!J78+'App 4-Recyclables'!N78</f>
        <v>1380.76</v>
      </c>
      <c r="G79" s="80">
        <f>'App 4-Recyclables'!G78+'App 4-Recyclables'!K78+'App 4-Recyclables'!O78</f>
        <v>1165.4000000000001</v>
      </c>
      <c r="H79" s="80">
        <f>'App 4-Recyclables'!H78+'App 4-Recyclables'!L78+'App 4-Recyclables'!P78</f>
        <v>215.36</v>
      </c>
      <c r="I79" s="80">
        <f>'App 5-Organics'!F78+'App 5-Organics'!J78+'App 5-Organics'!N78</f>
        <v>2780.45</v>
      </c>
      <c r="J79" s="80">
        <f>'App 5-Organics'!G78+'App 5-Organics'!K78+'App 5-Organics'!O78</f>
        <v>2780.45</v>
      </c>
      <c r="K79" s="80">
        <f>'App 5-Organics'!H78+'App 5-Organics'!L78+'App 5-Organics'!P78</f>
        <v>0</v>
      </c>
      <c r="L79" s="212">
        <f>'App 6-Residual Waste'!F78+'App 6-Residual Waste'!P78+'App 6-Residual Waste'!W78</f>
        <v>11343.96</v>
      </c>
      <c r="M79" s="212">
        <f>'App 6-Residual Waste'!G78+'App 6-Residual Waste'!Q78+'App 6-Residual Waste'!X78</f>
        <v>0.5</v>
      </c>
      <c r="N79" s="212">
        <f>'App 6-Residual Waste'!H78+'App 6-Residual Waste'!R78+'App 6-Residual Waste'!Y78</f>
        <v>11343.46</v>
      </c>
      <c r="O79" s="211"/>
      <c r="P79" s="212">
        <f t="shared" si="8"/>
        <v>15505.169999999998</v>
      </c>
      <c r="Q79" s="212">
        <f t="shared" si="9"/>
        <v>3946.35</v>
      </c>
      <c r="R79" s="212">
        <f t="shared" si="10"/>
        <v>11558.82</v>
      </c>
      <c r="S79" s="213">
        <f t="shared" si="11"/>
        <v>0.25451833162745074</v>
      </c>
      <c r="U79" s="406">
        <f>(P79*1000)/'App 1-Services'!G78/52</f>
        <v>12.264070503592567</v>
      </c>
      <c r="V79" s="406">
        <f>(P79*1000)/'App 1-Services'!H78/52</f>
        <v>22.602815809115079</v>
      </c>
    </row>
    <row r="80" spans="1:22" ht="15.75" x14ac:dyDescent="0.25">
      <c r="A80" s="376">
        <v>15300</v>
      </c>
      <c r="B80" s="376" t="s">
        <v>213</v>
      </c>
      <c r="C80" s="376" t="s">
        <v>125</v>
      </c>
      <c r="D80" s="404" t="s">
        <v>2</v>
      </c>
      <c r="E80" s="79"/>
      <c r="F80" s="80">
        <f>'App 4-Recyclables'!F79+'App 4-Recyclables'!J79+'App 4-Recyclables'!N79</f>
        <v>994.67</v>
      </c>
      <c r="G80" s="80">
        <f>'App 4-Recyclables'!G79+'App 4-Recyclables'!K79+'App 4-Recyclables'!O79</f>
        <v>953.29</v>
      </c>
      <c r="H80" s="80">
        <f>'App 4-Recyclables'!H79+'App 4-Recyclables'!L79+'App 4-Recyclables'!P79</f>
        <v>41.38</v>
      </c>
      <c r="I80" s="80">
        <f>'App 5-Organics'!F79+'App 5-Organics'!J79+'App 5-Organics'!N79</f>
        <v>905.52</v>
      </c>
      <c r="J80" s="80">
        <f>'App 5-Organics'!G79+'App 5-Organics'!K79+'App 5-Organics'!O79</f>
        <v>905.52</v>
      </c>
      <c r="K80" s="80">
        <f>'App 5-Organics'!H79+'App 5-Organics'!L79+'App 5-Organics'!P79</f>
        <v>0</v>
      </c>
      <c r="L80" s="212">
        <f>'App 6-Residual Waste'!F79+'App 6-Residual Waste'!P79+'App 6-Residual Waste'!W79</f>
        <v>2639.52</v>
      </c>
      <c r="M80" s="212">
        <f>'App 6-Residual Waste'!G79+'App 6-Residual Waste'!Q79+'App 6-Residual Waste'!X79</f>
        <v>0</v>
      </c>
      <c r="N80" s="212">
        <f>'App 6-Residual Waste'!H79+'App 6-Residual Waste'!R79+'App 6-Residual Waste'!Y79</f>
        <v>2639.52</v>
      </c>
      <c r="O80" s="211"/>
      <c r="P80" s="212">
        <f t="shared" si="8"/>
        <v>4539.71</v>
      </c>
      <c r="Q80" s="212">
        <f t="shared" si="9"/>
        <v>1858.81</v>
      </c>
      <c r="R80" s="212">
        <f t="shared" si="10"/>
        <v>2680.9</v>
      </c>
      <c r="S80" s="213">
        <f t="shared" si="11"/>
        <v>0.40945567007584183</v>
      </c>
      <c r="U80" s="406">
        <f>(P80*1000)/'App 1-Services'!G79/52</f>
        <v>6.2961283271754933</v>
      </c>
      <c r="V80" s="406">
        <f>(P80*1000)/'App 1-Services'!H79/52</f>
        <v>13.371437491900044</v>
      </c>
    </row>
    <row r="81" spans="1:22" ht="15.75" x14ac:dyDescent="0.25">
      <c r="A81" s="376">
        <v>15350</v>
      </c>
      <c r="B81" s="376" t="s">
        <v>214</v>
      </c>
      <c r="C81" s="376" t="s">
        <v>190</v>
      </c>
      <c r="D81" s="404" t="s">
        <v>4</v>
      </c>
      <c r="E81" s="79"/>
      <c r="F81" s="80">
        <f>'App 4-Recyclables'!F80+'App 4-Recyclables'!J80+'App 4-Recyclables'!N80</f>
        <v>2919</v>
      </c>
      <c r="G81" s="80">
        <f>'App 4-Recyclables'!G80+'App 4-Recyclables'!K80+'App 4-Recyclables'!O80</f>
        <v>2833</v>
      </c>
      <c r="H81" s="80">
        <f>'App 4-Recyclables'!H80+'App 4-Recyclables'!L80+'App 4-Recyclables'!P80</f>
        <v>86</v>
      </c>
      <c r="I81" s="80">
        <f>'App 5-Organics'!F80+'App 5-Organics'!J80+'App 5-Organics'!N80</f>
        <v>1512</v>
      </c>
      <c r="J81" s="80">
        <f>'App 5-Organics'!G80+'App 5-Organics'!K80+'App 5-Organics'!O80</f>
        <v>1512</v>
      </c>
      <c r="K81" s="80">
        <f>'App 5-Organics'!H80+'App 5-Organics'!L80+'App 5-Organics'!P80</f>
        <v>0</v>
      </c>
      <c r="L81" s="212">
        <f>'App 6-Residual Waste'!F80+'App 6-Residual Waste'!P80+'App 6-Residual Waste'!W80</f>
        <v>6701</v>
      </c>
      <c r="M81" s="212">
        <f>'App 6-Residual Waste'!G80+'App 6-Residual Waste'!Q80+'App 6-Residual Waste'!X80</f>
        <v>0</v>
      </c>
      <c r="N81" s="212">
        <f>'App 6-Residual Waste'!H80+'App 6-Residual Waste'!R80+'App 6-Residual Waste'!Y80</f>
        <v>6701</v>
      </c>
      <c r="O81" s="211"/>
      <c r="P81" s="212">
        <f t="shared" si="8"/>
        <v>11132</v>
      </c>
      <c r="Q81" s="212">
        <f t="shared" si="9"/>
        <v>4345</v>
      </c>
      <c r="R81" s="212">
        <f t="shared" si="10"/>
        <v>6787</v>
      </c>
      <c r="S81" s="213">
        <f t="shared" si="11"/>
        <v>0.39031620553359686</v>
      </c>
      <c r="U81" s="406">
        <f>(P81*1000)/'App 1-Services'!G80/52</f>
        <v>6.9854768347230651</v>
      </c>
      <c r="V81" s="406">
        <f>(P81*1000)/'App 1-Services'!H80/52</f>
        <v>16.110545084055016</v>
      </c>
    </row>
    <row r="82" spans="1:22" ht="15.75" x14ac:dyDescent="0.25">
      <c r="A82" s="376">
        <v>15520</v>
      </c>
      <c r="B82" s="376" t="s">
        <v>215</v>
      </c>
      <c r="C82" s="376" t="s">
        <v>703</v>
      </c>
      <c r="D82" s="404" t="s">
        <v>2</v>
      </c>
      <c r="E82" s="79"/>
      <c r="F82" s="80">
        <f>'App 4-Recyclables'!F81+'App 4-Recyclables'!J81+'App 4-Recyclables'!N81</f>
        <v>1209</v>
      </c>
      <c r="G82" s="80">
        <f>'App 4-Recyclables'!G81+'App 4-Recyclables'!K81+'App 4-Recyclables'!O81</f>
        <v>1149</v>
      </c>
      <c r="H82" s="80">
        <f>'App 4-Recyclables'!H81+'App 4-Recyclables'!L81+'App 4-Recyclables'!P81</f>
        <v>60</v>
      </c>
      <c r="I82" s="80">
        <f>'App 5-Organics'!F81+'App 5-Organics'!J81+'App 5-Organics'!N81</f>
        <v>0</v>
      </c>
      <c r="J82" s="80">
        <f>'App 5-Organics'!G81+'App 5-Organics'!K81+'App 5-Organics'!O81</f>
        <v>0</v>
      </c>
      <c r="K82" s="80">
        <f>'App 5-Organics'!H81+'App 5-Organics'!L81+'App 5-Organics'!P81</f>
        <v>0</v>
      </c>
      <c r="L82" s="212">
        <f>'App 6-Residual Waste'!F81+'App 6-Residual Waste'!P81+'App 6-Residual Waste'!W81</f>
        <v>3678</v>
      </c>
      <c r="M82" s="212">
        <f>'App 6-Residual Waste'!G81+'App 6-Residual Waste'!Q81+'App 6-Residual Waste'!X81</f>
        <v>0</v>
      </c>
      <c r="N82" s="212">
        <f>'App 6-Residual Waste'!H81+'App 6-Residual Waste'!R81+'App 6-Residual Waste'!Y81</f>
        <v>3678</v>
      </c>
      <c r="O82" s="211"/>
      <c r="P82" s="212">
        <f t="shared" si="8"/>
        <v>4887</v>
      </c>
      <c r="Q82" s="212">
        <f t="shared" si="9"/>
        <v>1149</v>
      </c>
      <c r="R82" s="212">
        <f t="shared" si="10"/>
        <v>3738</v>
      </c>
      <c r="S82" s="213">
        <f t="shared" si="11"/>
        <v>0.23511356660527932</v>
      </c>
      <c r="U82" s="406">
        <f>(P82*1000)/'App 1-Services'!G81/52</f>
        <v>8.1045851354578495</v>
      </c>
      <c r="V82" s="406">
        <f>(P82*1000)/'App 1-Services'!H81/52</f>
        <v>17.789280566111913</v>
      </c>
    </row>
    <row r="83" spans="1:22" ht="15.75" x14ac:dyDescent="0.25">
      <c r="A83" s="376">
        <v>15560</v>
      </c>
      <c r="B83" s="376" t="s">
        <v>195</v>
      </c>
      <c r="C83" s="376" t="s">
        <v>705</v>
      </c>
      <c r="D83" s="404" t="s">
        <v>2</v>
      </c>
      <c r="E83" s="79"/>
      <c r="F83" s="80">
        <f>'App 4-Recyclables'!F82+'App 4-Recyclables'!J82+'App 4-Recyclables'!N82</f>
        <v>485</v>
      </c>
      <c r="G83" s="80">
        <f>'App 4-Recyclables'!G82+'App 4-Recyclables'!K82+'App 4-Recyclables'!O82</f>
        <v>455</v>
      </c>
      <c r="H83" s="80">
        <f>'App 4-Recyclables'!H82+'App 4-Recyclables'!L82+'App 4-Recyclables'!P82</f>
        <v>30</v>
      </c>
      <c r="I83" s="80">
        <f>'App 5-Organics'!F82+'App 5-Organics'!J82+'App 5-Organics'!N82</f>
        <v>0</v>
      </c>
      <c r="J83" s="80">
        <f>'App 5-Organics'!G82+'App 5-Organics'!K82+'App 5-Organics'!O82</f>
        <v>0</v>
      </c>
      <c r="K83" s="80">
        <f>'App 5-Organics'!H82+'App 5-Organics'!L82+'App 5-Organics'!P82</f>
        <v>0</v>
      </c>
      <c r="L83" s="212">
        <f>'App 6-Residual Waste'!F82+'App 6-Residual Waste'!P82+'App 6-Residual Waste'!W82</f>
        <v>787</v>
      </c>
      <c r="M83" s="212">
        <f>'App 6-Residual Waste'!G82+'App 6-Residual Waste'!Q82+'App 6-Residual Waste'!X82</f>
        <v>0</v>
      </c>
      <c r="N83" s="212">
        <f>'App 6-Residual Waste'!H82+'App 6-Residual Waste'!R82+'App 6-Residual Waste'!Y82</f>
        <v>787</v>
      </c>
      <c r="O83" s="211"/>
      <c r="P83" s="212">
        <f t="shared" si="8"/>
        <v>1272</v>
      </c>
      <c r="Q83" s="212">
        <f t="shared" si="9"/>
        <v>455</v>
      </c>
      <c r="R83" s="212">
        <f t="shared" si="10"/>
        <v>817</v>
      </c>
      <c r="S83" s="213">
        <f t="shared" si="11"/>
        <v>0.35770440251572327</v>
      </c>
      <c r="U83" s="406">
        <f>(P83*1000)/'App 1-Services'!G82/52</f>
        <v>6.0087296638512555</v>
      </c>
      <c r="V83" s="406">
        <f>(P83*1000)/'App 1-Services'!H82/52</f>
        <v>21.685761047463174</v>
      </c>
    </row>
    <row r="84" spans="1:22" ht="15.75" x14ac:dyDescent="0.25">
      <c r="A84" s="376">
        <v>15650</v>
      </c>
      <c r="B84" s="376" t="s">
        <v>216</v>
      </c>
      <c r="C84" s="376" t="s">
        <v>163</v>
      </c>
      <c r="D84" s="404" t="s">
        <v>5</v>
      </c>
      <c r="E84" s="79"/>
      <c r="F84" s="80">
        <f>'App 4-Recyclables'!F83+'App 4-Recyclables'!J83+'App 4-Recyclables'!N83</f>
        <v>1484.3100000000002</v>
      </c>
      <c r="G84" s="80">
        <f>'App 4-Recyclables'!G83+'App 4-Recyclables'!K83+'App 4-Recyclables'!O83</f>
        <v>826.91</v>
      </c>
      <c r="H84" s="80">
        <f>'App 4-Recyclables'!H83+'App 4-Recyclables'!L83+'App 4-Recyclables'!P83</f>
        <v>657.4</v>
      </c>
      <c r="I84" s="80">
        <f>'App 5-Organics'!F83+'App 5-Organics'!J83+'App 5-Organics'!N83</f>
        <v>1799.42</v>
      </c>
      <c r="J84" s="80">
        <f>'App 5-Organics'!G83+'App 5-Organics'!K83+'App 5-Organics'!O83</f>
        <v>1096.6600000000001</v>
      </c>
      <c r="K84" s="80">
        <f>'App 5-Organics'!H83+'App 5-Organics'!L83+'App 5-Organics'!P83</f>
        <v>702.76</v>
      </c>
      <c r="L84" s="212">
        <f>'App 6-Residual Waste'!F83+'App 6-Residual Waste'!P83+'App 6-Residual Waste'!W83</f>
        <v>3589.9799999999996</v>
      </c>
      <c r="M84" s="212">
        <f>'App 6-Residual Waste'!G83+'App 6-Residual Waste'!Q83+'App 6-Residual Waste'!X83</f>
        <v>6.2799999999999985</v>
      </c>
      <c r="N84" s="212">
        <f>'App 6-Residual Waste'!H83+'App 6-Residual Waste'!R83+'App 6-Residual Waste'!Y83</f>
        <v>3583.7</v>
      </c>
      <c r="O84" s="211"/>
      <c r="P84" s="212">
        <f t="shared" si="8"/>
        <v>6873.71</v>
      </c>
      <c r="Q84" s="212">
        <f t="shared" si="9"/>
        <v>1929.8500000000001</v>
      </c>
      <c r="R84" s="212">
        <f t="shared" si="10"/>
        <v>4943.8599999999997</v>
      </c>
      <c r="S84" s="213">
        <f t="shared" si="11"/>
        <v>0.28075813498096369</v>
      </c>
      <c r="U84" s="406">
        <f>(P84*1000)/'App 1-Services'!G83/52</f>
        <v>7.5908309847956108</v>
      </c>
      <c r="V84" s="406">
        <f>(P84*1000)/'App 1-Services'!H83/52</f>
        <v>18.073110578237731</v>
      </c>
    </row>
    <row r="85" spans="1:22" ht="15.75" x14ac:dyDescent="0.25">
      <c r="A85" s="376">
        <v>15700</v>
      </c>
      <c r="B85" s="376" t="s">
        <v>217</v>
      </c>
      <c r="C85" s="376" t="s">
        <v>294</v>
      </c>
      <c r="D85" s="404" t="s">
        <v>5</v>
      </c>
      <c r="E85" s="79"/>
      <c r="F85" s="80">
        <f>'App 4-Recyclables'!F84+'App 4-Recyclables'!J84+'App 4-Recyclables'!N84</f>
        <v>3148.34</v>
      </c>
      <c r="G85" s="80">
        <f>'App 4-Recyclables'!G84+'App 4-Recyclables'!K84+'App 4-Recyclables'!O84</f>
        <v>2935.34</v>
      </c>
      <c r="H85" s="80">
        <f>'App 4-Recyclables'!H84+'App 4-Recyclables'!L84+'App 4-Recyclables'!P84</f>
        <v>213</v>
      </c>
      <c r="I85" s="80">
        <f>'App 5-Organics'!F84+'App 5-Organics'!J84+'App 5-Organics'!N84</f>
        <v>2903.7200000000003</v>
      </c>
      <c r="J85" s="80">
        <f>'App 5-Organics'!G84+'App 5-Organics'!K84+'App 5-Organics'!O84</f>
        <v>2769.7200000000003</v>
      </c>
      <c r="K85" s="80">
        <f>'App 5-Organics'!H84+'App 5-Organics'!L84+'App 5-Organics'!P84</f>
        <v>134</v>
      </c>
      <c r="L85" s="212">
        <f>'App 6-Residual Waste'!F84+'App 6-Residual Waste'!P84+'App 6-Residual Waste'!W84</f>
        <v>2701.03</v>
      </c>
      <c r="M85" s="212">
        <f>'App 6-Residual Waste'!G84+'App 6-Residual Waste'!Q84+'App 6-Residual Waste'!X84</f>
        <v>99.599999999999866</v>
      </c>
      <c r="N85" s="212">
        <f>'App 6-Residual Waste'!H84+'App 6-Residual Waste'!R84+'App 6-Residual Waste'!Y84</f>
        <v>2601.4300000000003</v>
      </c>
      <c r="O85" s="211"/>
      <c r="P85" s="212">
        <f t="shared" si="8"/>
        <v>8753.09</v>
      </c>
      <c r="Q85" s="212">
        <f t="shared" si="9"/>
        <v>5804.66</v>
      </c>
      <c r="R85" s="212">
        <f t="shared" si="10"/>
        <v>2948.4300000000003</v>
      </c>
      <c r="S85" s="213">
        <f t="shared" si="11"/>
        <v>0.66315552564865665</v>
      </c>
      <c r="U85" s="406">
        <f>(P85*1000)/'App 1-Services'!G84/52</f>
        <v>8.498013623089351</v>
      </c>
      <c r="V85" s="406">
        <f>(P85*1000)/'App 1-Services'!H84/52</f>
        <v>20.643690685081417</v>
      </c>
    </row>
    <row r="86" spans="1:22" ht="15.75" x14ac:dyDescent="0.25">
      <c r="A86" s="376">
        <v>15750</v>
      </c>
      <c r="B86" s="376" t="s">
        <v>218</v>
      </c>
      <c r="C86" s="376" t="s">
        <v>125</v>
      </c>
      <c r="D86" s="404" t="s">
        <v>2</v>
      </c>
      <c r="E86" s="79"/>
      <c r="F86" s="80">
        <f>'App 4-Recyclables'!F85+'App 4-Recyclables'!J85+'App 4-Recyclables'!N85</f>
        <v>1160.8200000000002</v>
      </c>
      <c r="G86" s="80">
        <f>'App 4-Recyclables'!G85+'App 4-Recyclables'!K85+'App 4-Recyclables'!O85</f>
        <v>1102.8200000000002</v>
      </c>
      <c r="H86" s="80">
        <f>'App 4-Recyclables'!H85+'App 4-Recyclables'!L85+'App 4-Recyclables'!P85</f>
        <v>58</v>
      </c>
      <c r="I86" s="80">
        <f>'App 5-Organics'!F85+'App 5-Organics'!J85+'App 5-Organics'!N85</f>
        <v>1131.3</v>
      </c>
      <c r="J86" s="80">
        <f>'App 5-Organics'!G85+'App 5-Organics'!K85+'App 5-Organics'!O85</f>
        <v>635.29999999999995</v>
      </c>
      <c r="K86" s="80">
        <f>'App 5-Organics'!H85+'App 5-Organics'!L85+'App 5-Organics'!P85</f>
        <v>496</v>
      </c>
      <c r="L86" s="212">
        <f>'App 6-Residual Waste'!F85+'App 6-Residual Waste'!P85+'App 6-Residual Waste'!W85</f>
        <v>2810.49</v>
      </c>
      <c r="M86" s="212">
        <f>'App 6-Residual Waste'!G85+'App 6-Residual Waste'!Q85+'App 6-Residual Waste'!X85</f>
        <v>43.08</v>
      </c>
      <c r="N86" s="212">
        <f>'App 6-Residual Waste'!H85+'App 6-Residual Waste'!R85+'App 6-Residual Waste'!Y85</f>
        <v>2767.41</v>
      </c>
      <c r="O86" s="211"/>
      <c r="P86" s="212">
        <f t="shared" si="8"/>
        <v>5102.6099999999997</v>
      </c>
      <c r="Q86" s="212">
        <f t="shared" si="9"/>
        <v>1781.2</v>
      </c>
      <c r="R86" s="212">
        <f t="shared" si="10"/>
        <v>3321.41</v>
      </c>
      <c r="S86" s="213">
        <f t="shared" si="11"/>
        <v>0.34907625705276324</v>
      </c>
      <c r="U86" s="406">
        <f>(P86*1000)/'App 1-Services'!G85/52</f>
        <v>7.1536863297087843</v>
      </c>
      <c r="V86" s="406">
        <f>(P86*1000)/'App 1-Services'!H85/52</f>
        <v>19.411892262040631</v>
      </c>
    </row>
    <row r="87" spans="1:22" ht="15.75" x14ac:dyDescent="0.25">
      <c r="A87" s="376">
        <v>15800</v>
      </c>
      <c r="B87" s="376" t="s">
        <v>219</v>
      </c>
      <c r="C87" s="376" t="s">
        <v>705</v>
      </c>
      <c r="D87" s="404" t="s">
        <v>2</v>
      </c>
      <c r="E87" s="79"/>
      <c r="F87" s="80">
        <f>'App 4-Recyclables'!F86+'App 4-Recyclables'!J86+'App 4-Recyclables'!N86</f>
        <v>389</v>
      </c>
      <c r="G87" s="80">
        <f>'App 4-Recyclables'!G86+'App 4-Recyclables'!K86+'App 4-Recyclables'!O86</f>
        <v>372.82</v>
      </c>
      <c r="H87" s="80">
        <f>'App 4-Recyclables'!H86+'App 4-Recyclables'!L86+'App 4-Recyclables'!P86</f>
        <v>16.18</v>
      </c>
      <c r="I87" s="80">
        <f>'App 5-Organics'!F86+'App 5-Organics'!J86+'App 5-Organics'!N86</f>
        <v>0</v>
      </c>
      <c r="J87" s="80">
        <f>'App 5-Organics'!G86+'App 5-Organics'!K86+'App 5-Organics'!O86</f>
        <v>0</v>
      </c>
      <c r="K87" s="80">
        <f>'App 5-Organics'!H86+'App 5-Organics'!L86+'App 5-Organics'!P86</f>
        <v>0</v>
      </c>
      <c r="L87" s="212">
        <f>'App 6-Residual Waste'!F86+'App 6-Residual Waste'!P86+'App 6-Residual Waste'!W86</f>
        <v>1050</v>
      </c>
      <c r="M87" s="212">
        <f>'App 6-Residual Waste'!G86+'App 6-Residual Waste'!Q86+'App 6-Residual Waste'!X86</f>
        <v>0</v>
      </c>
      <c r="N87" s="212">
        <f>'App 6-Residual Waste'!H86+'App 6-Residual Waste'!R86+'App 6-Residual Waste'!Y86</f>
        <v>1050</v>
      </c>
      <c r="O87" s="211"/>
      <c r="P87" s="212">
        <f t="shared" si="8"/>
        <v>1439</v>
      </c>
      <c r="Q87" s="212">
        <f t="shared" si="9"/>
        <v>372.82</v>
      </c>
      <c r="R87" s="212">
        <f t="shared" si="10"/>
        <v>1066.18</v>
      </c>
      <c r="S87" s="213">
        <f t="shared" si="11"/>
        <v>0.25908269631688674</v>
      </c>
      <c r="U87" s="406">
        <f>(P87*1000)/'App 1-Services'!G86/52</f>
        <v>4.6808316852295198</v>
      </c>
      <c r="V87" s="406">
        <f>(P87*1000)/'App 1-Services'!H86/52</f>
        <v>10.869236811891957</v>
      </c>
    </row>
    <row r="88" spans="1:22" ht="15.75" x14ac:dyDescent="0.25">
      <c r="A88" s="376">
        <v>15850</v>
      </c>
      <c r="B88" s="376" t="s">
        <v>220</v>
      </c>
      <c r="C88" s="376" t="s">
        <v>293</v>
      </c>
      <c r="D88" s="404" t="s">
        <v>2</v>
      </c>
      <c r="E88" s="79"/>
      <c r="F88" s="80">
        <f>'App 4-Recyclables'!F87+'App 4-Recyclables'!J87+'App 4-Recyclables'!N87</f>
        <v>1038</v>
      </c>
      <c r="G88" s="80">
        <f>'App 4-Recyclables'!G87+'App 4-Recyclables'!K87+'App 4-Recyclables'!O87</f>
        <v>989.5</v>
      </c>
      <c r="H88" s="80">
        <f>'App 4-Recyclables'!H87+'App 4-Recyclables'!L87+'App 4-Recyclables'!P87</f>
        <v>48.5</v>
      </c>
      <c r="I88" s="80">
        <f>'App 5-Organics'!F87+'App 5-Organics'!J87+'App 5-Organics'!N87</f>
        <v>36</v>
      </c>
      <c r="J88" s="80">
        <f>'App 5-Organics'!G87+'App 5-Organics'!K87+'App 5-Organics'!O87</f>
        <v>36</v>
      </c>
      <c r="K88" s="80">
        <f>'App 5-Organics'!H87+'App 5-Organics'!L87+'App 5-Organics'!P87</f>
        <v>0</v>
      </c>
      <c r="L88" s="212">
        <f>'App 6-Residual Waste'!F87+'App 6-Residual Waste'!P87+'App 6-Residual Waste'!W87</f>
        <v>2166</v>
      </c>
      <c r="M88" s="212">
        <f>'App 6-Residual Waste'!G87+'App 6-Residual Waste'!Q87+'App 6-Residual Waste'!X87</f>
        <v>0</v>
      </c>
      <c r="N88" s="212">
        <f>'App 6-Residual Waste'!H87+'App 6-Residual Waste'!R87+'App 6-Residual Waste'!Y87</f>
        <v>2166</v>
      </c>
      <c r="O88" s="211"/>
      <c r="P88" s="212">
        <f t="shared" si="8"/>
        <v>3240</v>
      </c>
      <c r="Q88" s="212">
        <f t="shared" si="9"/>
        <v>1025.5</v>
      </c>
      <c r="R88" s="212">
        <f t="shared" si="10"/>
        <v>2214.5</v>
      </c>
      <c r="S88" s="213">
        <f t="shared" si="11"/>
        <v>0.31651234567901232</v>
      </c>
      <c r="U88" s="406">
        <f>(P88*1000)/'App 1-Services'!G87/52</f>
        <v>9.1682890388011042</v>
      </c>
      <c r="V88" s="406">
        <f>(P88*1000)/'App 1-Services'!H87/52</f>
        <v>28.686782830429237</v>
      </c>
    </row>
    <row r="89" spans="1:22" ht="15.75" x14ac:dyDescent="0.25">
      <c r="A89" s="376">
        <v>15900</v>
      </c>
      <c r="B89" s="376" t="s">
        <v>221</v>
      </c>
      <c r="C89" s="376" t="s">
        <v>163</v>
      </c>
      <c r="D89" s="404" t="s">
        <v>3</v>
      </c>
      <c r="E89" s="79"/>
      <c r="F89" s="80">
        <f>'App 4-Recyclables'!F88+'App 4-Recyclables'!J88+'App 4-Recyclables'!N88</f>
        <v>17246.920000000002</v>
      </c>
      <c r="G89" s="80">
        <f>'App 4-Recyclables'!G88+'App 4-Recyclables'!K88+'App 4-Recyclables'!O88</f>
        <v>16212.99</v>
      </c>
      <c r="H89" s="80">
        <f>'App 4-Recyclables'!H88+'App 4-Recyclables'!L88+'App 4-Recyclables'!P88</f>
        <v>1033.93</v>
      </c>
      <c r="I89" s="80">
        <f>'App 5-Organics'!F88+'App 5-Organics'!J88+'App 5-Organics'!N88</f>
        <v>15604.470000000001</v>
      </c>
      <c r="J89" s="80">
        <f>'App 5-Organics'!G88+'App 5-Organics'!K88+'App 5-Organics'!O88</f>
        <v>15308.08</v>
      </c>
      <c r="K89" s="80">
        <f>'App 5-Organics'!H88+'App 5-Organics'!L88+'App 5-Organics'!P88</f>
        <v>296.39</v>
      </c>
      <c r="L89" s="212">
        <f>'App 6-Residual Waste'!F88+'App 6-Residual Waste'!P88+'App 6-Residual Waste'!W88</f>
        <v>50693.840000000004</v>
      </c>
      <c r="M89" s="212">
        <f>'App 6-Residual Waste'!G88+'App 6-Residual Waste'!Q88+'App 6-Residual Waste'!X88</f>
        <v>2064.4200000000023</v>
      </c>
      <c r="N89" s="212">
        <f>'App 6-Residual Waste'!H88+'App 6-Residual Waste'!R88+'App 6-Residual Waste'!Y88</f>
        <v>48629.42</v>
      </c>
      <c r="O89" s="211"/>
      <c r="P89" s="212">
        <f t="shared" si="8"/>
        <v>83545.23000000001</v>
      </c>
      <c r="Q89" s="212">
        <f t="shared" si="9"/>
        <v>33585.490000000005</v>
      </c>
      <c r="R89" s="212">
        <f t="shared" si="10"/>
        <v>49959.74</v>
      </c>
      <c r="S89" s="213">
        <f t="shared" si="11"/>
        <v>0.40200368111979584</v>
      </c>
      <c r="U89" s="406">
        <f>(P89*1000)/'App 1-Services'!G88/52</f>
        <v>9.870851642612946</v>
      </c>
      <c r="V89" s="406">
        <f>(P89*1000)/'App 1-Services'!H88/52</f>
        <v>25.434784594195371</v>
      </c>
    </row>
    <row r="90" spans="1:22" ht="15.75" x14ac:dyDescent="0.25">
      <c r="A90" s="376">
        <v>15950</v>
      </c>
      <c r="B90" s="376" t="s">
        <v>222</v>
      </c>
      <c r="C90" s="376" t="s">
        <v>190</v>
      </c>
      <c r="D90" s="404" t="s">
        <v>4</v>
      </c>
      <c r="E90" s="79"/>
      <c r="F90" s="80">
        <f>'App 4-Recyclables'!F89+'App 4-Recyclables'!J89+'App 4-Recyclables'!N89</f>
        <v>6401</v>
      </c>
      <c r="G90" s="80">
        <f>'App 4-Recyclables'!G89+'App 4-Recyclables'!K89+'App 4-Recyclables'!O89</f>
        <v>5959.89</v>
      </c>
      <c r="H90" s="80">
        <f>'App 4-Recyclables'!H89+'App 4-Recyclables'!L89+'App 4-Recyclables'!P89</f>
        <v>441.11</v>
      </c>
      <c r="I90" s="80">
        <f>'App 5-Organics'!F89+'App 5-Organics'!J89+'App 5-Organics'!N89</f>
        <v>1582</v>
      </c>
      <c r="J90" s="80">
        <f>'App 5-Organics'!G89+'App 5-Organics'!K89+'App 5-Organics'!O89</f>
        <v>1534.5</v>
      </c>
      <c r="K90" s="80">
        <f>'App 5-Organics'!H89+'App 5-Organics'!L89+'App 5-Organics'!P89</f>
        <v>47.5</v>
      </c>
      <c r="L90" s="212">
        <f>'App 6-Residual Waste'!F89+'App 6-Residual Waste'!P89+'App 6-Residual Waste'!W89</f>
        <v>14989.800000000001</v>
      </c>
      <c r="M90" s="212">
        <f>'App 6-Residual Waste'!G89+'App 6-Residual Waste'!Q89+'App 6-Residual Waste'!X89</f>
        <v>7271.7999999999993</v>
      </c>
      <c r="N90" s="212">
        <f>'App 6-Residual Waste'!H89+'App 6-Residual Waste'!R89+'App 6-Residual Waste'!Y89</f>
        <v>7718.0000000000009</v>
      </c>
      <c r="O90" s="211"/>
      <c r="P90" s="212">
        <f t="shared" si="8"/>
        <v>22972.800000000003</v>
      </c>
      <c r="Q90" s="212">
        <f t="shared" si="9"/>
        <v>14766.189999999999</v>
      </c>
      <c r="R90" s="212">
        <f t="shared" si="10"/>
        <v>8206.61</v>
      </c>
      <c r="S90" s="213">
        <f t="shared" si="11"/>
        <v>0.64276840437386806</v>
      </c>
      <c r="U90" s="406">
        <f>(P90*1000)/'App 1-Services'!G89/52</f>
        <v>6.0095303667956506</v>
      </c>
      <c r="V90" s="406">
        <f>(P90*1000)/'App 1-Services'!H89/52</f>
        <v>12.009912067000556</v>
      </c>
    </row>
    <row r="91" spans="1:22" ht="15.75" x14ac:dyDescent="0.25">
      <c r="A91" s="376">
        <v>15990</v>
      </c>
      <c r="B91" s="376" t="s">
        <v>211</v>
      </c>
      <c r="C91" s="376"/>
      <c r="D91" s="404" t="s">
        <v>4</v>
      </c>
      <c r="E91" s="79"/>
      <c r="F91" s="80">
        <f>'App 4-Recyclables'!F90+'App 4-Recyclables'!J90+'App 4-Recyclables'!N90</f>
        <v>29821</v>
      </c>
      <c r="G91" s="80">
        <f>'App 4-Recyclables'!G90+'App 4-Recyclables'!K90+'App 4-Recyclables'!O90</f>
        <v>27549.41</v>
      </c>
      <c r="H91" s="80">
        <f>'App 4-Recyclables'!H90+'App 4-Recyclables'!L90+'App 4-Recyclables'!P90</f>
        <v>2271.59</v>
      </c>
      <c r="I91" s="80">
        <f>'App 5-Organics'!F90+'App 5-Organics'!J90+'App 5-Organics'!N90</f>
        <v>29194</v>
      </c>
      <c r="J91" s="80">
        <f>'App 5-Organics'!G90+'App 5-Organics'!K90+'App 5-Organics'!O90</f>
        <v>29194</v>
      </c>
      <c r="K91" s="80">
        <f>'App 5-Organics'!H90+'App 5-Organics'!L90+'App 5-Organics'!P90</f>
        <v>0</v>
      </c>
      <c r="L91" s="212">
        <f>'App 6-Residual Waste'!F90+'App 6-Residual Waste'!P90+'App 6-Residual Waste'!W90</f>
        <v>60671</v>
      </c>
      <c r="M91" s="212">
        <f>'App 6-Residual Waste'!G90+'App 6-Residual Waste'!Q90+'App 6-Residual Waste'!X90</f>
        <v>1023</v>
      </c>
      <c r="N91" s="212">
        <f>'App 6-Residual Waste'!H90+'App 6-Residual Waste'!R90+'App 6-Residual Waste'!Y90</f>
        <v>59648</v>
      </c>
      <c r="O91" s="211"/>
      <c r="P91" s="212">
        <f t="shared" si="8"/>
        <v>119686</v>
      </c>
      <c r="Q91" s="212">
        <f t="shared" si="9"/>
        <v>57766.41</v>
      </c>
      <c r="R91" s="212">
        <f t="shared" si="10"/>
        <v>61919.59</v>
      </c>
      <c r="S91" s="213">
        <f t="shared" si="11"/>
        <v>0.48264968333806796</v>
      </c>
      <c r="U91" s="406">
        <f>(P91*1000)/'App 1-Services'!G90/52</f>
        <v>8.5611396960890538</v>
      </c>
      <c r="V91" s="406">
        <f>(P91*1000)/'App 1-Services'!H90/52</f>
        <v>23.712011766654435</v>
      </c>
    </row>
    <row r="92" spans="1:22" ht="15.75" x14ac:dyDescent="0.25">
      <c r="A92" s="376">
        <v>16100</v>
      </c>
      <c r="B92" s="376" t="s">
        <v>223</v>
      </c>
      <c r="C92" s="376" t="s">
        <v>293</v>
      </c>
      <c r="D92" s="404" t="s">
        <v>2</v>
      </c>
      <c r="E92" s="79"/>
      <c r="F92" s="80">
        <f>'App 4-Recyclables'!F91+'App 4-Recyclables'!J91+'App 4-Recyclables'!N91</f>
        <v>462</v>
      </c>
      <c r="G92" s="80">
        <f>'App 4-Recyclables'!G91+'App 4-Recyclables'!K91+'App 4-Recyclables'!O91</f>
        <v>462</v>
      </c>
      <c r="H92" s="80">
        <f>'App 4-Recyclables'!H91+'App 4-Recyclables'!L91+'App 4-Recyclables'!P91</f>
        <v>0</v>
      </c>
      <c r="I92" s="80">
        <f>'App 5-Organics'!F91+'App 5-Organics'!J91+'App 5-Organics'!N91</f>
        <v>65</v>
      </c>
      <c r="J92" s="80">
        <f>'App 5-Organics'!G91+'App 5-Organics'!K91+'App 5-Organics'!O91</f>
        <v>65</v>
      </c>
      <c r="K92" s="80">
        <f>'App 5-Organics'!H91+'App 5-Organics'!L91+'App 5-Organics'!P91</f>
        <v>0</v>
      </c>
      <c r="L92" s="212">
        <f>'App 6-Residual Waste'!F91+'App 6-Residual Waste'!P91+'App 6-Residual Waste'!W91</f>
        <v>1860.8</v>
      </c>
      <c r="M92" s="212">
        <f>'App 6-Residual Waste'!G91+'App 6-Residual Waste'!Q91+'App 6-Residual Waste'!X91</f>
        <v>190.5</v>
      </c>
      <c r="N92" s="212">
        <f>'App 6-Residual Waste'!H91+'App 6-Residual Waste'!R91+'App 6-Residual Waste'!Y91</f>
        <v>1670.3</v>
      </c>
      <c r="O92" s="211"/>
      <c r="P92" s="212">
        <f t="shared" si="8"/>
        <v>2387.8000000000002</v>
      </c>
      <c r="Q92" s="212">
        <f t="shared" si="9"/>
        <v>717.5</v>
      </c>
      <c r="R92" s="212">
        <f t="shared" si="10"/>
        <v>1670.3</v>
      </c>
      <c r="S92" s="213">
        <f t="shared" si="11"/>
        <v>0.30048580283105786</v>
      </c>
      <c r="U92" s="406">
        <f>(P92*1000)/'App 1-Services'!G91/52</f>
        <v>8.5830337886412646</v>
      </c>
      <c r="V92" s="406">
        <f>(P92*1000)/'App 1-Services'!H91/52</f>
        <v>12.300892249994849</v>
      </c>
    </row>
    <row r="93" spans="1:22" ht="15.75" x14ac:dyDescent="0.25">
      <c r="A93" s="376">
        <v>16150</v>
      </c>
      <c r="B93" s="376" t="s">
        <v>224</v>
      </c>
      <c r="C93" s="376" t="s">
        <v>293</v>
      </c>
      <c r="D93" s="404" t="s">
        <v>2</v>
      </c>
      <c r="E93" s="79"/>
      <c r="F93" s="80">
        <f>'App 4-Recyclables'!F92+'App 4-Recyclables'!J92+'App 4-Recyclables'!N92</f>
        <v>5647.07</v>
      </c>
      <c r="G93" s="80">
        <f>'App 4-Recyclables'!G92+'App 4-Recyclables'!K92+'App 4-Recyclables'!O92</f>
        <v>5390.3</v>
      </c>
      <c r="H93" s="80">
        <f>'App 4-Recyclables'!H92+'App 4-Recyclables'!L92+'App 4-Recyclables'!P92</f>
        <v>256.77000000000004</v>
      </c>
      <c r="I93" s="80">
        <f>'App 5-Organics'!F92+'App 5-Organics'!J92+'App 5-Organics'!N92</f>
        <v>14449.5</v>
      </c>
      <c r="J93" s="80">
        <f>'App 5-Organics'!G92+'App 5-Organics'!K92+'App 5-Organics'!O92</f>
        <v>13573.57</v>
      </c>
      <c r="K93" s="80">
        <f>'App 5-Organics'!H92+'App 5-Organics'!L92+'App 5-Organics'!P92</f>
        <v>875.92999999999904</v>
      </c>
      <c r="L93" s="212">
        <f>'App 6-Residual Waste'!F92+'App 6-Residual Waste'!P92+'App 6-Residual Waste'!W92</f>
        <v>11929.62</v>
      </c>
      <c r="M93" s="212">
        <f>'App 6-Residual Waste'!G92+'App 6-Residual Waste'!Q92+'App 6-Residual Waste'!X92</f>
        <v>71.210000000000136</v>
      </c>
      <c r="N93" s="212">
        <f>'App 6-Residual Waste'!H92+'App 6-Residual Waste'!R92+'App 6-Residual Waste'!Y92</f>
        <v>11858.41</v>
      </c>
      <c r="O93" s="211"/>
      <c r="P93" s="212">
        <f t="shared" si="8"/>
        <v>32026.190000000002</v>
      </c>
      <c r="Q93" s="212">
        <f t="shared" si="9"/>
        <v>19035.079999999998</v>
      </c>
      <c r="R93" s="212">
        <f t="shared" si="10"/>
        <v>12991.109999999999</v>
      </c>
      <c r="S93" s="213">
        <f t="shared" si="11"/>
        <v>0.59435980364820162</v>
      </c>
      <c r="U93" s="406">
        <f>(P93*1000)/'App 1-Services'!G92/52</f>
        <v>14.540756191112695</v>
      </c>
      <c r="V93" s="406">
        <f>(P93*1000)/'App 1-Services'!H92/52</f>
        <v>33.763953140220892</v>
      </c>
    </row>
    <row r="94" spans="1:22" ht="15.75" x14ac:dyDescent="0.25">
      <c r="A94" s="376">
        <v>16200</v>
      </c>
      <c r="B94" s="376" t="s">
        <v>226</v>
      </c>
      <c r="C94" s="376" t="s">
        <v>293</v>
      </c>
      <c r="D94" s="404" t="s">
        <v>2</v>
      </c>
      <c r="E94" s="79"/>
      <c r="F94" s="80">
        <f>'App 4-Recyclables'!F93+'App 4-Recyclables'!J93+'App 4-Recyclables'!N93</f>
        <v>978.98</v>
      </c>
      <c r="G94" s="80">
        <f>'App 4-Recyclables'!G93+'App 4-Recyclables'!K93+'App 4-Recyclables'!O93</f>
        <v>938.25</v>
      </c>
      <c r="H94" s="80">
        <f>'App 4-Recyclables'!H93+'App 4-Recyclables'!L93+'App 4-Recyclables'!P93</f>
        <v>40.729999999999997</v>
      </c>
      <c r="I94" s="80">
        <f>'App 5-Organics'!F93+'App 5-Organics'!J93+'App 5-Organics'!N93</f>
        <v>6.28</v>
      </c>
      <c r="J94" s="80">
        <f>'App 5-Organics'!G93+'App 5-Organics'!K93+'App 5-Organics'!O93</f>
        <v>6.28</v>
      </c>
      <c r="K94" s="80">
        <f>'App 5-Organics'!H93+'App 5-Organics'!L93+'App 5-Organics'!P93</f>
        <v>0</v>
      </c>
      <c r="L94" s="212">
        <f>'App 6-Residual Waste'!F93+'App 6-Residual Waste'!P93+'App 6-Residual Waste'!W93</f>
        <v>2231.44</v>
      </c>
      <c r="M94" s="212">
        <f>'App 6-Residual Waste'!G93+'App 6-Residual Waste'!Q93+'App 6-Residual Waste'!X93</f>
        <v>37.44</v>
      </c>
      <c r="N94" s="212">
        <f>'App 6-Residual Waste'!H93+'App 6-Residual Waste'!R93+'App 6-Residual Waste'!Y93</f>
        <v>2194</v>
      </c>
      <c r="O94" s="211"/>
      <c r="P94" s="212">
        <f t="shared" si="8"/>
        <v>3216.7</v>
      </c>
      <c r="Q94" s="212">
        <f t="shared" si="9"/>
        <v>981.97</v>
      </c>
      <c r="R94" s="212">
        <f t="shared" si="10"/>
        <v>2234.73</v>
      </c>
      <c r="S94" s="213">
        <f t="shared" si="11"/>
        <v>0.30527248422296144</v>
      </c>
      <c r="U94" s="406">
        <f>(P94*1000)/'App 1-Services'!G93/52</f>
        <v>4.0357264734221934</v>
      </c>
      <c r="V94" s="406">
        <f>(P94*1000)/'App 1-Services'!H93/52</f>
        <v>8.2479487179487183</v>
      </c>
    </row>
    <row r="95" spans="1:22" ht="15.75" x14ac:dyDescent="0.25">
      <c r="A95" s="376">
        <v>16260</v>
      </c>
      <c r="B95" s="376" t="s">
        <v>227</v>
      </c>
      <c r="C95" s="376" t="s">
        <v>129</v>
      </c>
      <c r="D95" s="404" t="s">
        <v>4</v>
      </c>
      <c r="E95" s="79"/>
      <c r="F95" s="80">
        <f>'App 4-Recyclables'!F94+'App 4-Recyclables'!J94+'App 4-Recyclables'!N94</f>
        <v>12596</v>
      </c>
      <c r="G95" s="80">
        <f>'App 4-Recyclables'!G94+'App 4-Recyclables'!K94+'App 4-Recyclables'!O94</f>
        <v>10844.52</v>
      </c>
      <c r="H95" s="80">
        <f>'App 4-Recyclables'!H94+'App 4-Recyclables'!L94+'App 4-Recyclables'!P94</f>
        <v>1751.48</v>
      </c>
      <c r="I95" s="80">
        <f>'App 5-Organics'!F94+'App 5-Organics'!J94+'App 5-Organics'!N94</f>
        <v>12661</v>
      </c>
      <c r="J95" s="80">
        <f>'App 5-Organics'!G94+'App 5-Organics'!K94+'App 5-Organics'!O94</f>
        <v>12643</v>
      </c>
      <c r="K95" s="80">
        <f>'App 5-Organics'!H94+'App 5-Organics'!L94+'App 5-Organics'!P94</f>
        <v>18</v>
      </c>
      <c r="L95" s="212">
        <f>'App 6-Residual Waste'!F94+'App 6-Residual Waste'!P94+'App 6-Residual Waste'!W94</f>
        <v>43278.23</v>
      </c>
      <c r="M95" s="212">
        <f>'App 6-Residual Waste'!G94+'App 6-Residual Waste'!Q94+'App 6-Residual Waste'!X94</f>
        <v>23973.23</v>
      </c>
      <c r="N95" s="212">
        <f>'App 6-Residual Waste'!H94+'App 6-Residual Waste'!R94+'App 6-Residual Waste'!Y94</f>
        <v>19305</v>
      </c>
      <c r="O95" s="211"/>
      <c r="P95" s="212">
        <f t="shared" si="8"/>
        <v>68535.23000000001</v>
      </c>
      <c r="Q95" s="212">
        <f t="shared" si="9"/>
        <v>47460.75</v>
      </c>
      <c r="R95" s="212">
        <f t="shared" si="10"/>
        <v>21074.48</v>
      </c>
      <c r="S95" s="213">
        <f t="shared" si="11"/>
        <v>0.69250150615967865</v>
      </c>
      <c r="U95" s="406">
        <f>(P95*1000)/'App 1-Services'!G94/52</f>
        <v>5.5851326687644027</v>
      </c>
      <c r="V95" s="406">
        <f>(P95*1000)/'App 1-Services'!H94/52</f>
        <v>20.276695266272196</v>
      </c>
    </row>
    <row r="96" spans="1:22" ht="15.75" x14ac:dyDescent="0.25">
      <c r="A96" s="376">
        <v>16350</v>
      </c>
      <c r="B96" s="376" t="s">
        <v>228</v>
      </c>
      <c r="C96" s="376" t="s">
        <v>129</v>
      </c>
      <c r="D96" s="404" t="s">
        <v>4</v>
      </c>
      <c r="E96" s="79"/>
      <c r="F96" s="80">
        <f>'App 4-Recyclables'!F95+'App 4-Recyclables'!J95+'App 4-Recyclables'!N95</f>
        <v>21016.79</v>
      </c>
      <c r="G96" s="80">
        <f>'App 4-Recyclables'!G95+'App 4-Recyclables'!K95+'App 4-Recyclables'!O95</f>
        <v>18431.099999999999</v>
      </c>
      <c r="H96" s="80">
        <f>'App 4-Recyclables'!H95+'App 4-Recyclables'!L95+'App 4-Recyclables'!P95</f>
        <v>2585.69</v>
      </c>
      <c r="I96" s="80">
        <f>'App 5-Organics'!F95+'App 5-Organics'!J95+'App 5-Organics'!N95</f>
        <v>30961</v>
      </c>
      <c r="J96" s="80">
        <f>'App 5-Organics'!G95+'App 5-Organics'!K95+'App 5-Organics'!O95</f>
        <v>29267</v>
      </c>
      <c r="K96" s="80">
        <f>'App 5-Organics'!H95+'App 5-Organics'!L95+'App 5-Organics'!P95</f>
        <v>1694</v>
      </c>
      <c r="L96" s="212">
        <f>'App 6-Residual Waste'!F95+'App 6-Residual Waste'!P95+'App 6-Residual Waste'!W95</f>
        <v>38378.81</v>
      </c>
      <c r="M96" s="212">
        <f>'App 6-Residual Waste'!G95+'App 6-Residual Waste'!Q95+'App 6-Residual Waste'!X95</f>
        <v>5934.81</v>
      </c>
      <c r="N96" s="212">
        <f>'App 6-Residual Waste'!H95+'App 6-Residual Waste'!R95+'App 6-Residual Waste'!Y95</f>
        <v>32444</v>
      </c>
      <c r="O96" s="211"/>
      <c r="P96" s="212">
        <f t="shared" si="8"/>
        <v>90356.6</v>
      </c>
      <c r="Q96" s="212">
        <f t="shared" si="9"/>
        <v>53632.909999999996</v>
      </c>
      <c r="R96" s="212">
        <f t="shared" si="10"/>
        <v>36723.69</v>
      </c>
      <c r="S96" s="213">
        <f t="shared" si="11"/>
        <v>0.5935693684800003</v>
      </c>
      <c r="U96" s="406">
        <f>(P96*1000)/'App 1-Services'!G95/52</f>
        <v>8.598878259055617</v>
      </c>
      <c r="V96" s="406">
        <f>(P96*1000)/'App 1-Services'!H95/52</f>
        <v>23.99573180706663</v>
      </c>
    </row>
    <row r="97" spans="1:22" ht="15.75" x14ac:dyDescent="0.25">
      <c r="A97" s="376">
        <v>16380</v>
      </c>
      <c r="B97" s="376" t="s">
        <v>187</v>
      </c>
      <c r="C97" s="376" t="s">
        <v>294</v>
      </c>
      <c r="D97" s="404" t="s">
        <v>5</v>
      </c>
      <c r="E97" s="79"/>
      <c r="F97" s="80">
        <f>'App 4-Recyclables'!F96+'App 4-Recyclables'!J96+'App 4-Recyclables'!N96</f>
        <v>12598.970000000001</v>
      </c>
      <c r="G97" s="80">
        <f>'App 4-Recyclables'!G96+'App 4-Recyclables'!K96+'App 4-Recyclables'!O96</f>
        <v>12067.970000000001</v>
      </c>
      <c r="H97" s="80">
        <f>'App 4-Recyclables'!H96+'App 4-Recyclables'!L96+'App 4-Recyclables'!P96</f>
        <v>531</v>
      </c>
      <c r="I97" s="80">
        <f>'App 5-Organics'!F96+'App 5-Organics'!J96+'App 5-Organics'!N96</f>
        <v>19085.82</v>
      </c>
      <c r="J97" s="80">
        <f>'App 5-Organics'!G96+'App 5-Organics'!K96+'App 5-Organics'!O96</f>
        <v>18957.82</v>
      </c>
      <c r="K97" s="80">
        <f>'App 5-Organics'!H96+'App 5-Organics'!L96+'App 5-Organics'!P96</f>
        <v>128</v>
      </c>
      <c r="L97" s="212">
        <f>'App 6-Residual Waste'!F96+'App 6-Residual Waste'!P96+'App 6-Residual Waste'!W96</f>
        <v>24968.77</v>
      </c>
      <c r="M97" s="212">
        <f>'App 6-Residual Waste'!G96+'App 6-Residual Waste'!Q96+'App 6-Residual Waste'!X96</f>
        <v>568.48</v>
      </c>
      <c r="N97" s="212">
        <f>'App 6-Residual Waste'!H96+'App 6-Residual Waste'!R96+'App 6-Residual Waste'!Y96</f>
        <v>24400.29</v>
      </c>
      <c r="O97" s="211"/>
      <c r="P97" s="212">
        <f t="shared" si="8"/>
        <v>56653.56</v>
      </c>
      <c r="Q97" s="212">
        <f t="shared" si="9"/>
        <v>31594.27</v>
      </c>
      <c r="R97" s="212">
        <f t="shared" si="10"/>
        <v>25059.29</v>
      </c>
      <c r="S97" s="213">
        <f t="shared" si="11"/>
        <v>0.557674928106901</v>
      </c>
      <c r="U97" s="406">
        <f>(P97*1000)/'App 1-Services'!G96/52</f>
        <v>13.796795350735605</v>
      </c>
      <c r="V97" s="406">
        <f>(P97*1000)/'App 1-Services'!H96/52</f>
        <v>31.852752264692391</v>
      </c>
    </row>
    <row r="98" spans="1:22" ht="15.75" x14ac:dyDescent="0.25">
      <c r="A98" s="376">
        <v>16400</v>
      </c>
      <c r="B98" s="376" t="s">
        <v>229</v>
      </c>
      <c r="C98" s="376" t="s">
        <v>163</v>
      </c>
      <c r="D98" s="404" t="s">
        <v>3</v>
      </c>
      <c r="E98" s="79"/>
      <c r="F98" s="80">
        <f>'App 4-Recyclables'!F97+'App 4-Recyclables'!J97+'App 4-Recyclables'!N97</f>
        <v>8602.0499999999993</v>
      </c>
      <c r="G98" s="80">
        <f>'App 4-Recyclables'!G97+'App 4-Recyclables'!K97+'App 4-Recyclables'!O97</f>
        <v>8191.05</v>
      </c>
      <c r="H98" s="80">
        <f>'App 4-Recyclables'!H97+'App 4-Recyclables'!L97+'App 4-Recyclables'!P97</f>
        <v>411</v>
      </c>
      <c r="I98" s="80">
        <f>'App 5-Organics'!F97+'App 5-Organics'!J97+'App 5-Organics'!N97</f>
        <v>3008.98</v>
      </c>
      <c r="J98" s="80">
        <f>'App 5-Organics'!G97+'App 5-Organics'!K97+'App 5-Organics'!O97</f>
        <v>3008.98</v>
      </c>
      <c r="K98" s="80">
        <f>'App 5-Organics'!H97+'App 5-Organics'!L97+'App 5-Organics'!P97</f>
        <v>0</v>
      </c>
      <c r="L98" s="212">
        <f>'App 6-Residual Waste'!F97+'App 6-Residual Waste'!P97+'App 6-Residual Waste'!W97</f>
        <v>33815.06</v>
      </c>
      <c r="M98" s="212">
        <f>'App 6-Residual Waste'!G97+'App 6-Residual Waste'!Q97+'App 6-Residual Waste'!X97</f>
        <v>14853.81</v>
      </c>
      <c r="N98" s="212">
        <f>'App 6-Residual Waste'!H97+'App 6-Residual Waste'!R97+'App 6-Residual Waste'!Y97</f>
        <v>18961.25</v>
      </c>
      <c r="O98" s="211"/>
      <c r="P98" s="212">
        <f t="shared" si="8"/>
        <v>45426.09</v>
      </c>
      <c r="Q98" s="212">
        <f t="shared" si="9"/>
        <v>26053.84</v>
      </c>
      <c r="R98" s="212">
        <f t="shared" si="10"/>
        <v>19372.25</v>
      </c>
      <c r="S98" s="213">
        <f t="shared" si="11"/>
        <v>0.57354352972047562</v>
      </c>
      <c r="U98" s="406">
        <f>(P98*1000)/'App 1-Services'!G97/52</f>
        <v>12.233967087445787</v>
      </c>
      <c r="V98" s="406">
        <f>(P98*1000)/'App 1-Services'!H97/52</f>
        <v>27.602093394614485</v>
      </c>
    </row>
    <row r="99" spans="1:22" ht="15.75" x14ac:dyDescent="0.25">
      <c r="A99" s="376">
        <v>16490</v>
      </c>
      <c r="B99" s="376" t="s">
        <v>225</v>
      </c>
      <c r="C99" s="376" t="s">
        <v>704</v>
      </c>
      <c r="D99" s="404" t="s">
        <v>2</v>
      </c>
      <c r="E99" s="79"/>
      <c r="F99" s="80">
        <f>'App 4-Recyclables'!F98+'App 4-Recyclables'!J98+'App 4-Recyclables'!N98</f>
        <v>4262.5</v>
      </c>
      <c r="G99" s="80">
        <f>'App 4-Recyclables'!G98+'App 4-Recyclables'!K98+'App 4-Recyclables'!O98</f>
        <v>3972.5</v>
      </c>
      <c r="H99" s="80">
        <f>'App 4-Recyclables'!H98+'App 4-Recyclables'!L98+'App 4-Recyclables'!P98</f>
        <v>290</v>
      </c>
      <c r="I99" s="80">
        <f>'App 5-Organics'!F98+'App 5-Organics'!J98+'App 5-Organics'!N98</f>
        <v>6486.65</v>
      </c>
      <c r="J99" s="80">
        <f>'App 5-Organics'!G98+'App 5-Organics'!K98+'App 5-Organics'!O98</f>
        <v>6478.25</v>
      </c>
      <c r="K99" s="80">
        <f>'App 5-Organics'!H98+'App 5-Organics'!L98+'App 5-Organics'!P98</f>
        <v>8.4</v>
      </c>
      <c r="L99" s="212">
        <f>'App 6-Residual Waste'!F98+'App 6-Residual Waste'!P98+'App 6-Residual Waste'!W98</f>
        <v>13425.63</v>
      </c>
      <c r="M99" s="212">
        <f>'App 6-Residual Waste'!G98+'App 6-Residual Waste'!Q98+'App 6-Residual Waste'!X98</f>
        <v>62.549999999999926</v>
      </c>
      <c r="N99" s="212">
        <f>'App 6-Residual Waste'!H98+'App 6-Residual Waste'!R98+'App 6-Residual Waste'!Y98</f>
        <v>13363.08</v>
      </c>
      <c r="O99" s="211"/>
      <c r="P99" s="212">
        <f t="shared" si="8"/>
        <v>24174.78</v>
      </c>
      <c r="Q99" s="212">
        <f t="shared" si="9"/>
        <v>10513.3</v>
      </c>
      <c r="R99" s="212">
        <f t="shared" si="10"/>
        <v>13661.48</v>
      </c>
      <c r="S99" s="213">
        <f t="shared" si="11"/>
        <v>0.43488710135107744</v>
      </c>
      <c r="U99" s="406">
        <f>(P99*1000)/'App 1-Services'!G98/52</f>
        <v>8.1086199355463666</v>
      </c>
      <c r="V99" s="406">
        <f>(P99*1000)/'App 1-Services'!H98/52</f>
        <v>19.15453073151561</v>
      </c>
    </row>
    <row r="100" spans="1:22" ht="15.75" x14ac:dyDescent="0.25">
      <c r="A100" s="376">
        <v>16550</v>
      </c>
      <c r="B100" s="376" t="s">
        <v>230</v>
      </c>
      <c r="C100" s="376" t="s">
        <v>127</v>
      </c>
      <c r="D100" s="404" t="s">
        <v>4</v>
      </c>
      <c r="E100" s="79"/>
      <c r="F100" s="80">
        <f>'App 4-Recyclables'!F99+'App 4-Recyclables'!J99+'App 4-Recyclables'!N99</f>
        <v>12135.5</v>
      </c>
      <c r="G100" s="80">
        <f>'App 4-Recyclables'!G99+'App 4-Recyclables'!K99+'App 4-Recyclables'!O99</f>
        <v>10735.5</v>
      </c>
      <c r="H100" s="80">
        <f>'App 4-Recyclables'!H99+'App 4-Recyclables'!L99+'App 4-Recyclables'!P99</f>
        <v>1400</v>
      </c>
      <c r="I100" s="80">
        <f>'App 5-Organics'!F99+'App 5-Organics'!J99+'App 5-Organics'!N99</f>
        <v>7285</v>
      </c>
      <c r="J100" s="80">
        <f>'App 5-Organics'!G99+'App 5-Organics'!K99+'App 5-Organics'!O99</f>
        <v>7181</v>
      </c>
      <c r="K100" s="80">
        <f>'App 5-Organics'!H99+'App 5-Organics'!L99+'App 5-Organics'!P99</f>
        <v>104</v>
      </c>
      <c r="L100" s="212">
        <f>'App 6-Residual Waste'!F99+'App 6-Residual Waste'!P99+'App 6-Residual Waste'!W99</f>
        <v>31355.19</v>
      </c>
      <c r="M100" s="212">
        <f>'App 6-Residual Waste'!G99+'App 6-Residual Waste'!Q99+'App 6-Residual Waste'!X99</f>
        <v>11069.19</v>
      </c>
      <c r="N100" s="212">
        <f>'App 6-Residual Waste'!H99+'App 6-Residual Waste'!R99+'App 6-Residual Waste'!Y99</f>
        <v>20286</v>
      </c>
      <c r="O100" s="211"/>
      <c r="P100" s="212">
        <f t="shared" si="8"/>
        <v>50775.69</v>
      </c>
      <c r="Q100" s="212">
        <f t="shared" si="9"/>
        <v>28985.690000000002</v>
      </c>
      <c r="R100" s="212">
        <f t="shared" si="10"/>
        <v>21790</v>
      </c>
      <c r="S100" s="213">
        <f t="shared" si="11"/>
        <v>0.57085762891651504</v>
      </c>
      <c r="U100" s="406">
        <f>(P100*1000)/'App 1-Services'!G99/52</f>
        <v>6.6241694950279291</v>
      </c>
      <c r="V100" s="406">
        <f>(P100*1000)/'App 1-Services'!H99/52</f>
        <v>16.929134987137033</v>
      </c>
    </row>
    <row r="101" spans="1:22" ht="15.75" x14ac:dyDescent="0.25">
      <c r="A101" s="376">
        <v>16610</v>
      </c>
      <c r="B101" s="376" t="s">
        <v>231</v>
      </c>
      <c r="C101" s="376" t="s">
        <v>131</v>
      </c>
      <c r="D101" s="404" t="s">
        <v>5</v>
      </c>
      <c r="E101" s="79"/>
      <c r="F101" s="80">
        <f>'App 4-Recyclables'!F100+'App 4-Recyclables'!J100+'App 4-Recyclables'!N100</f>
        <v>3469.7200000000003</v>
      </c>
      <c r="G101" s="80">
        <f>'App 4-Recyclables'!G100+'App 4-Recyclables'!K100+'App 4-Recyclables'!O100</f>
        <v>3458.6400000000003</v>
      </c>
      <c r="H101" s="80">
        <f>'App 4-Recyclables'!H100+'App 4-Recyclables'!L100+'App 4-Recyclables'!P100</f>
        <v>11.08</v>
      </c>
      <c r="I101" s="80">
        <f>'App 5-Organics'!F100+'App 5-Organics'!J100+'App 5-Organics'!N100</f>
        <v>4094</v>
      </c>
      <c r="J101" s="80">
        <f>'App 5-Organics'!G100+'App 5-Organics'!K100+'App 5-Organics'!O100</f>
        <v>4076.12</v>
      </c>
      <c r="K101" s="80">
        <f>'App 5-Organics'!H100+'App 5-Organics'!L100+'App 5-Organics'!P100</f>
        <v>17.88</v>
      </c>
      <c r="L101" s="212">
        <f>'App 6-Residual Waste'!F100+'App 6-Residual Waste'!P100+'App 6-Residual Waste'!W100</f>
        <v>5102</v>
      </c>
      <c r="M101" s="212">
        <f>'App 6-Residual Waste'!G100+'App 6-Residual Waste'!Q100+'App 6-Residual Waste'!X100</f>
        <v>45</v>
      </c>
      <c r="N101" s="212">
        <f>'App 6-Residual Waste'!H100+'App 6-Residual Waste'!R100+'App 6-Residual Waste'!Y100</f>
        <v>5057</v>
      </c>
      <c r="O101" s="211"/>
      <c r="P101" s="212">
        <f t="shared" si="8"/>
        <v>12665.720000000001</v>
      </c>
      <c r="Q101" s="212">
        <f t="shared" si="9"/>
        <v>7579.76</v>
      </c>
      <c r="R101" s="212">
        <f t="shared" si="10"/>
        <v>5085.96</v>
      </c>
      <c r="S101" s="213">
        <f t="shared" si="11"/>
        <v>0.59844683128949638</v>
      </c>
      <c r="U101" s="406">
        <f>(P101*1000)/'App 1-Services'!G100/52</f>
        <v>10.397487341481195</v>
      </c>
      <c r="V101" s="406">
        <f>(P101*1000)/'App 1-Services'!H100/52</f>
        <v>24.62308314411024</v>
      </c>
    </row>
    <row r="102" spans="1:22" ht="15.75" x14ac:dyDescent="0.25">
      <c r="A102" s="376">
        <v>16700</v>
      </c>
      <c r="B102" s="376" t="s">
        <v>232</v>
      </c>
      <c r="C102" s="376" t="s">
        <v>190</v>
      </c>
      <c r="D102" s="404" t="s">
        <v>4</v>
      </c>
      <c r="E102" s="79"/>
      <c r="F102" s="80">
        <f>'App 4-Recyclables'!F101+'App 4-Recyclables'!J101+'App 4-Recyclables'!N101</f>
        <v>9330.26</v>
      </c>
      <c r="G102" s="80">
        <f>'App 4-Recyclables'!G101+'App 4-Recyclables'!K101+'App 4-Recyclables'!O101</f>
        <v>8882.26</v>
      </c>
      <c r="H102" s="80">
        <f>'App 4-Recyclables'!H101+'App 4-Recyclables'!L101+'App 4-Recyclables'!P101</f>
        <v>448</v>
      </c>
      <c r="I102" s="80">
        <f>'App 5-Organics'!F101+'App 5-Organics'!J101+'App 5-Organics'!N101</f>
        <v>9496.24</v>
      </c>
      <c r="J102" s="80">
        <f>'App 5-Organics'!G101+'App 5-Organics'!K101+'App 5-Organics'!O101</f>
        <v>9315.24</v>
      </c>
      <c r="K102" s="80">
        <f>'App 5-Organics'!H101+'App 5-Organics'!L101+'App 5-Organics'!P101</f>
        <v>181</v>
      </c>
      <c r="L102" s="212">
        <f>'App 6-Residual Waste'!F101+'App 6-Residual Waste'!P101+'App 6-Residual Waste'!W101</f>
        <v>27488.969999999998</v>
      </c>
      <c r="M102" s="212">
        <f>'App 6-Residual Waste'!G101+'App 6-Residual Waste'!Q101+'App 6-Residual Waste'!X101</f>
        <v>504.85</v>
      </c>
      <c r="N102" s="212">
        <f>'App 6-Residual Waste'!H101+'App 6-Residual Waste'!R101+'App 6-Residual Waste'!Y101</f>
        <v>26984.12</v>
      </c>
      <c r="O102" s="211"/>
      <c r="P102" s="212">
        <f t="shared" ref="P102:P133" si="12">F102+I102+L102</f>
        <v>46315.47</v>
      </c>
      <c r="Q102" s="212">
        <f t="shared" ref="Q102:Q133" si="13">G102+J102+M102</f>
        <v>18702.349999999999</v>
      </c>
      <c r="R102" s="212">
        <f t="shared" ref="R102:R133" si="14">H102+K102+N102</f>
        <v>27613.119999999999</v>
      </c>
      <c r="S102" s="213">
        <f t="shared" ref="S102:S133" si="15">Q102/P102</f>
        <v>0.40380352396294367</v>
      </c>
      <c r="U102" s="406">
        <f>(P102*1000)/'App 1-Services'!G101/52</f>
        <v>7.4506634827729989</v>
      </c>
      <c r="V102" s="406">
        <f>(P102*1000)/'App 1-Services'!H101/52</f>
        <v>19.419223725300121</v>
      </c>
    </row>
    <row r="103" spans="1:22" ht="15.75" x14ac:dyDescent="0.25">
      <c r="A103" s="376">
        <v>16900</v>
      </c>
      <c r="B103" s="376" t="s">
        <v>233</v>
      </c>
      <c r="C103" s="376" t="s">
        <v>291</v>
      </c>
      <c r="D103" s="404" t="s">
        <v>3</v>
      </c>
      <c r="E103" s="79"/>
      <c r="F103" s="80">
        <f>'App 4-Recyclables'!F102+'App 4-Recyclables'!J102+'App 4-Recyclables'!N102</f>
        <v>10329.650000000001</v>
      </c>
      <c r="G103" s="80">
        <f>'App 4-Recyclables'!G102+'App 4-Recyclables'!K102+'App 4-Recyclables'!O102</f>
        <v>9827</v>
      </c>
      <c r="H103" s="80">
        <f>'App 4-Recyclables'!H102+'App 4-Recyclables'!L102+'App 4-Recyclables'!P102</f>
        <v>502.65</v>
      </c>
      <c r="I103" s="80">
        <f>'App 5-Organics'!F102+'App 5-Organics'!J102+'App 5-Organics'!N102</f>
        <v>13147.55</v>
      </c>
      <c r="J103" s="80">
        <f>'App 5-Organics'!G102+'App 5-Organics'!K102+'App 5-Organics'!O102</f>
        <v>13041.17</v>
      </c>
      <c r="K103" s="80">
        <f>'App 5-Organics'!H102+'App 5-Organics'!L102+'App 5-Organics'!P102</f>
        <v>106.38</v>
      </c>
      <c r="L103" s="212">
        <f>'App 6-Residual Waste'!F102+'App 6-Residual Waste'!P102+'App 6-Residual Waste'!W102</f>
        <v>23477.59</v>
      </c>
      <c r="M103" s="212">
        <f>'App 6-Residual Waste'!G102+'App 6-Residual Waste'!Q102+'App 6-Residual Waste'!X102</f>
        <v>35.22</v>
      </c>
      <c r="N103" s="212">
        <f>'App 6-Residual Waste'!H102+'App 6-Residual Waste'!R102+'App 6-Residual Waste'!Y102</f>
        <v>23442.37</v>
      </c>
      <c r="O103" s="211"/>
      <c r="P103" s="212">
        <f t="shared" si="12"/>
        <v>46954.79</v>
      </c>
      <c r="Q103" s="212">
        <f t="shared" si="13"/>
        <v>22903.39</v>
      </c>
      <c r="R103" s="212">
        <f t="shared" si="14"/>
        <v>24051.399999999998</v>
      </c>
      <c r="S103" s="213">
        <f t="shared" si="15"/>
        <v>0.48777536860456622</v>
      </c>
      <c r="U103" s="406">
        <f>(P103*1000)/'App 1-Services'!G102/52</f>
        <v>12.765808957067758</v>
      </c>
      <c r="V103" s="406">
        <f>(P103*1000)/'App 1-Services'!H102/52</f>
        <v>33.614143273991388</v>
      </c>
    </row>
    <row r="104" spans="1:22" ht="15.75" x14ac:dyDescent="0.25">
      <c r="A104" s="376">
        <v>16950</v>
      </c>
      <c r="B104" s="376" t="s">
        <v>234</v>
      </c>
      <c r="C104" s="376" t="s">
        <v>291</v>
      </c>
      <c r="D104" s="404" t="s">
        <v>3</v>
      </c>
      <c r="E104" s="79"/>
      <c r="F104" s="80">
        <f>'App 4-Recyclables'!F103+'App 4-Recyclables'!J103+'App 4-Recyclables'!N103</f>
        <v>14823.4</v>
      </c>
      <c r="G104" s="80">
        <f>'App 4-Recyclables'!G103+'App 4-Recyclables'!K103+'App 4-Recyclables'!O103</f>
        <v>14187.4</v>
      </c>
      <c r="H104" s="80">
        <f>'App 4-Recyclables'!H103+'App 4-Recyclables'!L103+'App 4-Recyclables'!P103</f>
        <v>636</v>
      </c>
      <c r="I104" s="80">
        <f>'App 5-Organics'!F103+'App 5-Organics'!J103+'App 5-Organics'!N103</f>
        <v>10892.8</v>
      </c>
      <c r="J104" s="80">
        <f>'App 5-Organics'!G103+'App 5-Organics'!K103+'App 5-Organics'!O103</f>
        <v>10892.8</v>
      </c>
      <c r="K104" s="80">
        <f>'App 5-Organics'!H103+'App 5-Organics'!L103+'App 5-Organics'!P103</f>
        <v>0</v>
      </c>
      <c r="L104" s="212">
        <f>'App 6-Residual Waste'!F103+'App 6-Residual Waste'!P103+'App 6-Residual Waste'!W103</f>
        <v>38491.300000000003</v>
      </c>
      <c r="M104" s="212">
        <f>'App 6-Residual Waste'!G103+'App 6-Residual Waste'!Q103+'App 6-Residual Waste'!X103</f>
        <v>1037.5000000000005</v>
      </c>
      <c r="N104" s="212">
        <f>'App 6-Residual Waste'!H103+'App 6-Residual Waste'!R103+'App 6-Residual Waste'!Y103</f>
        <v>37453.800000000003</v>
      </c>
      <c r="O104" s="211"/>
      <c r="P104" s="212">
        <f t="shared" si="12"/>
        <v>64207.5</v>
      </c>
      <c r="Q104" s="212">
        <f t="shared" si="13"/>
        <v>26117.699999999997</v>
      </c>
      <c r="R104" s="212">
        <f t="shared" si="14"/>
        <v>38089.800000000003</v>
      </c>
      <c r="S104" s="213">
        <f t="shared" si="15"/>
        <v>0.40677023712183152</v>
      </c>
      <c r="U104" s="406">
        <f>(P104*1000)/'App 1-Services'!G103/52</f>
        <v>12.169675498064452</v>
      </c>
      <c r="V104" s="406">
        <f>(P104*1000)/'App 1-Services'!H103/52</f>
        <v>22.650321300668001</v>
      </c>
    </row>
    <row r="105" spans="1:22" ht="15.75" x14ac:dyDescent="0.25">
      <c r="A105" s="376">
        <v>17000</v>
      </c>
      <c r="B105" s="376" t="s">
        <v>235</v>
      </c>
      <c r="C105" s="376" t="s">
        <v>163</v>
      </c>
      <c r="D105" s="404" t="s">
        <v>5</v>
      </c>
      <c r="E105" s="79"/>
      <c r="F105" s="80">
        <f>'App 4-Recyclables'!F104+'App 4-Recyclables'!J104+'App 4-Recyclables'!N104</f>
        <v>3069.32</v>
      </c>
      <c r="G105" s="80">
        <f>'App 4-Recyclables'!G104+'App 4-Recyclables'!K104+'App 4-Recyclables'!O104</f>
        <v>3025.68</v>
      </c>
      <c r="H105" s="80">
        <f>'App 4-Recyclables'!H104+'App 4-Recyclables'!L104+'App 4-Recyclables'!P104</f>
        <v>43.64</v>
      </c>
      <c r="I105" s="80">
        <f>'App 5-Organics'!F104+'App 5-Organics'!J104+'App 5-Organics'!N104</f>
        <v>550.07000000000005</v>
      </c>
      <c r="J105" s="80">
        <f>'App 5-Organics'!G104+'App 5-Organics'!K104+'App 5-Organics'!O104</f>
        <v>550.07000000000005</v>
      </c>
      <c r="K105" s="80">
        <f>'App 5-Organics'!H104+'App 5-Organics'!L104+'App 5-Organics'!P104</f>
        <v>0</v>
      </c>
      <c r="L105" s="212">
        <f>'App 6-Residual Waste'!F104+'App 6-Residual Waste'!P104+'App 6-Residual Waste'!W104</f>
        <v>8130.74</v>
      </c>
      <c r="M105" s="212">
        <f>'App 6-Residual Waste'!G104+'App 6-Residual Waste'!Q104+'App 6-Residual Waste'!X104</f>
        <v>438.99000000000007</v>
      </c>
      <c r="N105" s="212">
        <f>'App 6-Residual Waste'!H104+'App 6-Residual Waste'!R104+'App 6-Residual Waste'!Y104</f>
        <v>7691.75</v>
      </c>
      <c r="O105" s="211"/>
      <c r="P105" s="212">
        <f t="shared" si="12"/>
        <v>11750.130000000001</v>
      </c>
      <c r="Q105" s="212">
        <f t="shared" si="13"/>
        <v>4014.7400000000002</v>
      </c>
      <c r="R105" s="212">
        <f t="shared" si="14"/>
        <v>7735.39</v>
      </c>
      <c r="S105" s="213">
        <f t="shared" si="15"/>
        <v>0.34167621975246232</v>
      </c>
      <c r="U105" s="406">
        <f>(P105*1000)/'App 1-Services'!G104/52</f>
        <v>9.3912987183217034</v>
      </c>
      <c r="V105" s="406">
        <f>(P105*1000)/'App 1-Services'!H104/52</f>
        <v>27.958925818057228</v>
      </c>
    </row>
    <row r="106" spans="1:22" ht="15.75" x14ac:dyDescent="0.25">
      <c r="A106" s="376">
        <v>17040</v>
      </c>
      <c r="B106" s="376" t="s">
        <v>147</v>
      </c>
      <c r="C106" s="376" t="s">
        <v>704</v>
      </c>
      <c r="D106" s="404" t="s">
        <v>2</v>
      </c>
      <c r="E106" s="79"/>
      <c r="F106" s="80">
        <f>'App 4-Recyclables'!F105+'App 4-Recyclables'!J105+'App 4-Recyclables'!N105</f>
        <v>2020.4300000000003</v>
      </c>
      <c r="G106" s="80">
        <f>'App 4-Recyclables'!G105+'App 4-Recyclables'!K105+'App 4-Recyclables'!O105</f>
        <v>2016.9300000000003</v>
      </c>
      <c r="H106" s="80">
        <f>'App 4-Recyclables'!H105+'App 4-Recyclables'!L105+'App 4-Recyclables'!P105</f>
        <v>3.5</v>
      </c>
      <c r="I106" s="80">
        <f>'App 5-Organics'!F105+'App 5-Organics'!J105+'App 5-Organics'!N105</f>
        <v>953.34</v>
      </c>
      <c r="J106" s="80">
        <f>'App 5-Organics'!G105+'App 5-Organics'!K105+'App 5-Organics'!O105</f>
        <v>942.34</v>
      </c>
      <c r="K106" s="80">
        <f>'App 5-Organics'!H105+'App 5-Organics'!L105+'App 5-Organics'!P105</f>
        <v>11</v>
      </c>
      <c r="L106" s="212">
        <f>'App 6-Residual Waste'!F105+'App 6-Residual Waste'!P105+'App 6-Residual Waste'!W105</f>
        <v>4169.76</v>
      </c>
      <c r="M106" s="212">
        <f>'App 6-Residual Waste'!G105+'App 6-Residual Waste'!Q105+'App 6-Residual Waste'!X105</f>
        <v>14.009999999999891</v>
      </c>
      <c r="N106" s="212">
        <f>'App 6-Residual Waste'!H105+'App 6-Residual Waste'!R105+'App 6-Residual Waste'!Y105</f>
        <v>4155.75</v>
      </c>
      <c r="O106" s="211"/>
      <c r="P106" s="212">
        <f t="shared" si="12"/>
        <v>7143.5300000000007</v>
      </c>
      <c r="Q106" s="212">
        <f t="shared" si="13"/>
        <v>2973.28</v>
      </c>
      <c r="R106" s="212">
        <f t="shared" si="14"/>
        <v>4170.25</v>
      </c>
      <c r="S106" s="213">
        <f t="shared" si="15"/>
        <v>0.41621999207674637</v>
      </c>
      <c r="U106" s="406">
        <f>(P106*1000)/'App 1-Services'!G105/52</f>
        <v>6.5792900825228422</v>
      </c>
      <c r="V106" s="406">
        <f>(P106*1000)/'App 1-Services'!H105/52</f>
        <v>16.292169938695086</v>
      </c>
    </row>
    <row r="107" spans="1:22" ht="15.75" x14ac:dyDescent="0.25">
      <c r="A107" s="376">
        <v>17080</v>
      </c>
      <c r="B107" s="376" t="s">
        <v>242</v>
      </c>
      <c r="C107" s="376" t="s">
        <v>142</v>
      </c>
      <c r="D107" s="404" t="s">
        <v>2</v>
      </c>
      <c r="E107" s="79"/>
      <c r="F107" s="80">
        <f>'App 4-Recyclables'!F106+'App 4-Recyclables'!J106+'App 4-Recyclables'!N106</f>
        <v>1726</v>
      </c>
      <c r="G107" s="80">
        <f>'App 4-Recyclables'!G106+'App 4-Recyclables'!K106+'App 4-Recyclables'!O106</f>
        <v>1628.45</v>
      </c>
      <c r="H107" s="80">
        <f>'App 4-Recyclables'!H106+'App 4-Recyclables'!L106+'App 4-Recyclables'!P106</f>
        <v>97.55</v>
      </c>
      <c r="I107" s="80">
        <f>'App 5-Organics'!F106+'App 5-Organics'!J106+'App 5-Organics'!N106</f>
        <v>0</v>
      </c>
      <c r="J107" s="80">
        <f>'App 5-Organics'!G106+'App 5-Organics'!K106+'App 5-Organics'!O106</f>
        <v>0</v>
      </c>
      <c r="K107" s="80">
        <f>'App 5-Organics'!H106+'App 5-Organics'!L106+'App 5-Organics'!P106</f>
        <v>0</v>
      </c>
      <c r="L107" s="212">
        <f>'App 6-Residual Waste'!F106+'App 6-Residual Waste'!P106+'App 6-Residual Waste'!W106</f>
        <v>3481.9</v>
      </c>
      <c r="M107" s="212">
        <f>'App 6-Residual Waste'!G106+'App 6-Residual Waste'!Q106+'App 6-Residual Waste'!X106</f>
        <v>0</v>
      </c>
      <c r="N107" s="212">
        <f>'App 6-Residual Waste'!H106+'App 6-Residual Waste'!R106+'App 6-Residual Waste'!Y106</f>
        <v>3481.9</v>
      </c>
      <c r="O107" s="211"/>
      <c r="P107" s="212">
        <f t="shared" si="12"/>
        <v>5207.8999999999996</v>
      </c>
      <c r="Q107" s="212">
        <f t="shared" si="13"/>
        <v>1628.45</v>
      </c>
      <c r="R107" s="212">
        <f t="shared" si="14"/>
        <v>3579.4500000000003</v>
      </c>
      <c r="S107" s="213">
        <f t="shared" si="15"/>
        <v>0.31268841567618427</v>
      </c>
      <c r="U107" s="406">
        <f>(P107*1000)/'App 1-Services'!G106/52</f>
        <v>6.6710133269115488</v>
      </c>
      <c r="V107" s="406">
        <f>(P107*1000)/'App 1-Services'!H106/52</f>
        <v>17.411669519631968</v>
      </c>
    </row>
    <row r="108" spans="1:22" ht="15.75" x14ac:dyDescent="0.25">
      <c r="A108" s="376">
        <v>17100</v>
      </c>
      <c r="B108" s="376" t="s">
        <v>236</v>
      </c>
      <c r="C108" s="376"/>
      <c r="D108" s="404" t="s">
        <v>4</v>
      </c>
      <c r="E108" s="79"/>
      <c r="F108" s="80">
        <f>'App 4-Recyclables'!F107+'App 4-Recyclables'!J107+'App 4-Recyclables'!N107</f>
        <v>2769.73</v>
      </c>
      <c r="G108" s="80">
        <f>'App 4-Recyclables'!G107+'App 4-Recyclables'!K107+'App 4-Recyclables'!O107</f>
        <v>2441.79</v>
      </c>
      <c r="H108" s="80">
        <f>'App 4-Recyclables'!H107+'App 4-Recyclables'!L107+'App 4-Recyclables'!P107</f>
        <v>327.94</v>
      </c>
      <c r="I108" s="80">
        <f>'App 5-Organics'!F107+'App 5-Organics'!J107+'App 5-Organics'!N107</f>
        <v>1765.68</v>
      </c>
      <c r="J108" s="80">
        <f>'App 5-Organics'!G107+'App 5-Organics'!K107+'App 5-Organics'!O107</f>
        <v>1765.68</v>
      </c>
      <c r="K108" s="80">
        <f>'App 5-Organics'!H107+'App 5-Organics'!L107+'App 5-Organics'!P107</f>
        <v>0</v>
      </c>
      <c r="L108" s="212">
        <f>'App 6-Residual Waste'!F107+'App 6-Residual Waste'!P107+'App 6-Residual Waste'!W107</f>
        <v>9870.24</v>
      </c>
      <c r="M108" s="212">
        <f>'App 6-Residual Waste'!G107+'App 6-Residual Waste'!Q107+'App 6-Residual Waste'!X107</f>
        <v>0</v>
      </c>
      <c r="N108" s="212">
        <f>'App 6-Residual Waste'!H107+'App 6-Residual Waste'!R107+'App 6-Residual Waste'!Y107</f>
        <v>9870.24</v>
      </c>
      <c r="O108" s="211"/>
      <c r="P108" s="212">
        <f t="shared" si="12"/>
        <v>14405.65</v>
      </c>
      <c r="Q108" s="212">
        <f t="shared" si="13"/>
        <v>4207.47</v>
      </c>
      <c r="R108" s="212">
        <f t="shared" si="14"/>
        <v>10198.18</v>
      </c>
      <c r="S108" s="213">
        <f t="shared" si="15"/>
        <v>0.2920708194354299</v>
      </c>
      <c r="U108" s="406">
        <f>(P108*1000)/'App 1-Services'!G107/52</f>
        <v>6.7629746544254763</v>
      </c>
      <c r="V108" s="406">
        <f>(P108*1000)/'App 1-Services'!H107/52</f>
        <v>23.795888229619546</v>
      </c>
    </row>
    <row r="109" spans="1:22" ht="15.75" x14ac:dyDescent="0.25">
      <c r="A109" s="376">
        <v>17150</v>
      </c>
      <c r="B109" s="376" t="s">
        <v>237</v>
      </c>
      <c r="C109" s="376" t="s">
        <v>127</v>
      </c>
      <c r="D109" s="404" t="s">
        <v>4</v>
      </c>
      <c r="E109" s="79"/>
      <c r="F109" s="80">
        <f>'App 4-Recyclables'!F108+'App 4-Recyclables'!J108+'App 4-Recyclables'!N108</f>
        <v>25217</v>
      </c>
      <c r="G109" s="80">
        <f>'App 4-Recyclables'!G108+'App 4-Recyclables'!K108+'App 4-Recyclables'!O108</f>
        <v>22707.24</v>
      </c>
      <c r="H109" s="80">
        <f>'App 4-Recyclables'!H108+'App 4-Recyclables'!L108+'App 4-Recyclables'!P108</f>
        <v>2509.7600000000002</v>
      </c>
      <c r="I109" s="80">
        <f>'App 5-Organics'!F108+'App 5-Organics'!J108+'App 5-Organics'!N108</f>
        <v>28732</v>
      </c>
      <c r="J109" s="80">
        <f>'App 5-Organics'!G108+'App 5-Organics'!K108+'App 5-Organics'!O108</f>
        <v>28732</v>
      </c>
      <c r="K109" s="80">
        <f>'App 5-Organics'!H108+'App 5-Organics'!L108+'App 5-Organics'!P108</f>
        <v>0</v>
      </c>
      <c r="L109" s="212">
        <f>'App 6-Residual Waste'!F108+'App 6-Residual Waste'!P108+'App 6-Residual Waste'!W108</f>
        <v>52847</v>
      </c>
      <c r="M109" s="212">
        <f>'App 6-Residual Waste'!G108+'App 6-Residual Waste'!Q108+'App 6-Residual Waste'!X108</f>
        <v>247</v>
      </c>
      <c r="N109" s="212">
        <f>'App 6-Residual Waste'!H108+'App 6-Residual Waste'!R108+'App 6-Residual Waste'!Y108</f>
        <v>52600</v>
      </c>
      <c r="O109" s="211"/>
      <c r="P109" s="212">
        <f t="shared" si="12"/>
        <v>106796</v>
      </c>
      <c r="Q109" s="212">
        <f t="shared" si="13"/>
        <v>51686.240000000005</v>
      </c>
      <c r="R109" s="212">
        <f t="shared" si="14"/>
        <v>55109.760000000002</v>
      </c>
      <c r="S109" s="213">
        <f t="shared" si="15"/>
        <v>0.48397168433274662</v>
      </c>
      <c r="U109" s="406">
        <f>(P109*1000)/'App 1-Services'!G108/52</f>
        <v>9.0350233633474293</v>
      </c>
      <c r="V109" s="406">
        <f>(P109*1000)/'App 1-Services'!H108/52</f>
        <v>21.661033505275917</v>
      </c>
    </row>
    <row r="110" spans="1:22" ht="15.75" x14ac:dyDescent="0.25">
      <c r="A110" s="376">
        <v>17200</v>
      </c>
      <c r="B110" s="376" t="s">
        <v>238</v>
      </c>
      <c r="C110" s="376" t="s">
        <v>127</v>
      </c>
      <c r="D110" s="404" t="s">
        <v>4</v>
      </c>
      <c r="E110" s="79"/>
      <c r="F110" s="80">
        <f>'App 4-Recyclables'!F109+'App 4-Recyclables'!J109+'App 4-Recyclables'!N109</f>
        <v>16049</v>
      </c>
      <c r="G110" s="80">
        <f>'App 4-Recyclables'!G109+'App 4-Recyclables'!K109+'App 4-Recyclables'!O109</f>
        <v>14070.02</v>
      </c>
      <c r="H110" s="80">
        <f>'App 4-Recyclables'!H109+'App 4-Recyclables'!L109+'App 4-Recyclables'!P109</f>
        <v>1978.98</v>
      </c>
      <c r="I110" s="80">
        <f>'App 5-Organics'!F109+'App 5-Organics'!J109+'App 5-Organics'!N109</f>
        <v>1047</v>
      </c>
      <c r="J110" s="80">
        <f>'App 5-Organics'!G109+'App 5-Organics'!K109+'App 5-Organics'!O109</f>
        <v>1047</v>
      </c>
      <c r="K110" s="80">
        <f>'App 5-Organics'!H109+'App 5-Organics'!L109+'App 5-Organics'!P109</f>
        <v>0</v>
      </c>
      <c r="L110" s="212">
        <f>'App 6-Residual Waste'!F109+'App 6-Residual Waste'!P109+'App 6-Residual Waste'!W109</f>
        <v>47898</v>
      </c>
      <c r="M110" s="212">
        <f>'App 6-Residual Waste'!G109+'App 6-Residual Waste'!Q109+'App 6-Residual Waste'!X109</f>
        <v>26637</v>
      </c>
      <c r="N110" s="212">
        <f>'App 6-Residual Waste'!H109+'App 6-Residual Waste'!R109+'App 6-Residual Waste'!Y109</f>
        <v>21261</v>
      </c>
      <c r="O110" s="211"/>
      <c r="P110" s="212">
        <f t="shared" si="12"/>
        <v>64994</v>
      </c>
      <c r="Q110" s="212">
        <f t="shared" si="13"/>
        <v>41754.020000000004</v>
      </c>
      <c r="R110" s="212">
        <f t="shared" si="14"/>
        <v>23239.98</v>
      </c>
      <c r="S110" s="213">
        <f t="shared" si="15"/>
        <v>0.64242883958519259</v>
      </c>
      <c r="U110" s="406">
        <f>(P110*1000)/'App 1-Services'!G109/52</f>
        <v>5.9255615124595984</v>
      </c>
      <c r="V110" s="406">
        <f>(P110*1000)/'App 1-Services'!H109/52</f>
        <v>10.551645494323663</v>
      </c>
    </row>
    <row r="111" spans="1:22" ht="15.75" x14ac:dyDescent="0.25">
      <c r="A111" s="376">
        <v>17310</v>
      </c>
      <c r="B111" s="376" t="s">
        <v>239</v>
      </c>
      <c r="C111" s="376" t="s">
        <v>125</v>
      </c>
      <c r="D111" s="404" t="s">
        <v>2</v>
      </c>
      <c r="E111" s="79"/>
      <c r="F111" s="80">
        <f>'App 4-Recyclables'!F110+'App 4-Recyclables'!J110+'App 4-Recyclables'!N110</f>
        <v>4958.1000000000004</v>
      </c>
      <c r="G111" s="80">
        <f>'App 4-Recyclables'!G110+'App 4-Recyclables'!K110+'App 4-Recyclables'!O110</f>
        <v>4290.1000000000004</v>
      </c>
      <c r="H111" s="80">
        <f>'App 4-Recyclables'!H110+'App 4-Recyclables'!L110+'App 4-Recyclables'!P110</f>
        <v>668</v>
      </c>
      <c r="I111" s="80">
        <f>'App 5-Organics'!F110+'App 5-Organics'!J110+'App 5-Organics'!N110</f>
        <v>5201.8999999999996</v>
      </c>
      <c r="J111" s="80">
        <f>'App 5-Organics'!G110+'App 5-Organics'!K110+'App 5-Organics'!O110</f>
        <v>5176.7</v>
      </c>
      <c r="K111" s="80">
        <f>'App 5-Organics'!H110+'App 5-Organics'!L110+'App 5-Organics'!P110</f>
        <v>25.2</v>
      </c>
      <c r="L111" s="212">
        <f>'App 6-Residual Waste'!F110+'App 6-Residual Waste'!P110+'App 6-Residual Waste'!W110</f>
        <v>14120.3</v>
      </c>
      <c r="M111" s="212">
        <f>'App 6-Residual Waste'!G110+'App 6-Residual Waste'!Q110+'App 6-Residual Waste'!X110</f>
        <v>0</v>
      </c>
      <c r="N111" s="212">
        <f>'App 6-Residual Waste'!H110+'App 6-Residual Waste'!R110+'App 6-Residual Waste'!Y110</f>
        <v>14120.3</v>
      </c>
      <c r="O111" s="211"/>
      <c r="P111" s="212">
        <f t="shared" si="12"/>
        <v>24280.3</v>
      </c>
      <c r="Q111" s="212">
        <f t="shared" si="13"/>
        <v>9466.7999999999993</v>
      </c>
      <c r="R111" s="212">
        <f t="shared" si="14"/>
        <v>14813.5</v>
      </c>
      <c r="S111" s="213">
        <f t="shared" si="15"/>
        <v>0.38989633571249116</v>
      </c>
      <c r="U111" s="406">
        <f>(P111*1000)/'App 1-Services'!G110/52</f>
        <v>7.5554829474732381</v>
      </c>
      <c r="V111" s="406">
        <f>(P111*1000)/'App 1-Services'!H110/52</f>
        <v>19.581013425893069</v>
      </c>
    </row>
    <row r="112" spans="1:22" ht="15.75" x14ac:dyDescent="0.25">
      <c r="A112" s="376">
        <v>17350</v>
      </c>
      <c r="B112" s="376" t="s">
        <v>240</v>
      </c>
      <c r="C112" s="376" t="s">
        <v>142</v>
      </c>
      <c r="D112" s="404" t="s">
        <v>2</v>
      </c>
      <c r="E112" s="79"/>
      <c r="F112" s="80">
        <f>'App 4-Recyclables'!F111+'App 4-Recyclables'!J111+'App 4-Recyclables'!N111</f>
        <v>203</v>
      </c>
      <c r="G112" s="80">
        <f>'App 4-Recyclables'!G111+'App 4-Recyclables'!K111+'App 4-Recyclables'!O111</f>
        <v>203</v>
      </c>
      <c r="H112" s="80">
        <f>'App 4-Recyclables'!H111+'App 4-Recyclables'!L111+'App 4-Recyclables'!P111</f>
        <v>0</v>
      </c>
      <c r="I112" s="80">
        <f>'App 5-Organics'!F111+'App 5-Organics'!J111+'App 5-Organics'!N111</f>
        <v>10</v>
      </c>
      <c r="J112" s="80">
        <f>'App 5-Organics'!G111+'App 5-Organics'!K111+'App 5-Organics'!O111</f>
        <v>0</v>
      </c>
      <c r="K112" s="80">
        <f>'App 5-Organics'!H111+'App 5-Organics'!L111+'App 5-Organics'!P111</f>
        <v>10</v>
      </c>
      <c r="L112" s="212">
        <f>'App 6-Residual Waste'!F111+'App 6-Residual Waste'!P111+'App 6-Residual Waste'!W111</f>
        <v>2571</v>
      </c>
      <c r="M112" s="212">
        <f>'App 6-Residual Waste'!G111+'App 6-Residual Waste'!Q111+'App 6-Residual Waste'!X111</f>
        <v>221</v>
      </c>
      <c r="N112" s="212">
        <f>'App 6-Residual Waste'!H111+'App 6-Residual Waste'!R111+'App 6-Residual Waste'!Y111</f>
        <v>2350</v>
      </c>
      <c r="O112" s="211"/>
      <c r="P112" s="212">
        <f t="shared" si="12"/>
        <v>2784</v>
      </c>
      <c r="Q112" s="212">
        <f t="shared" si="13"/>
        <v>424</v>
      </c>
      <c r="R112" s="212">
        <f t="shared" si="14"/>
        <v>2360</v>
      </c>
      <c r="S112" s="213">
        <f t="shared" si="15"/>
        <v>0.15229885057471265</v>
      </c>
      <c r="U112" s="406">
        <f>(P112*1000)/'App 1-Services'!G111/52</f>
        <v>8.7940968361467711</v>
      </c>
      <c r="V112" s="406">
        <f>(P112*1000)/'App 1-Services'!H111/52</f>
        <v>14.513001230268783</v>
      </c>
    </row>
    <row r="113" spans="1:22" ht="15.75" x14ac:dyDescent="0.25">
      <c r="A113" s="376">
        <v>17400</v>
      </c>
      <c r="B113" s="376" t="s">
        <v>241</v>
      </c>
      <c r="C113" s="376" t="s">
        <v>125</v>
      </c>
      <c r="D113" s="404" t="s">
        <v>2</v>
      </c>
      <c r="E113" s="79"/>
      <c r="F113" s="80">
        <f>'App 4-Recyclables'!F112+'App 4-Recyclables'!J112+'App 4-Recyclables'!N112</f>
        <v>543</v>
      </c>
      <c r="G113" s="80">
        <f>'App 4-Recyclables'!G112+'App 4-Recyclables'!K112+'App 4-Recyclables'!O112</f>
        <v>520.41</v>
      </c>
      <c r="H113" s="80">
        <f>'App 4-Recyclables'!H112+'App 4-Recyclables'!L112+'App 4-Recyclables'!P112</f>
        <v>22.59</v>
      </c>
      <c r="I113" s="80">
        <f>'App 5-Organics'!F112+'App 5-Organics'!J112+'App 5-Organics'!N112</f>
        <v>0</v>
      </c>
      <c r="J113" s="80">
        <f>'App 5-Organics'!G112+'App 5-Organics'!K112+'App 5-Organics'!O112</f>
        <v>0</v>
      </c>
      <c r="K113" s="80">
        <f>'App 5-Organics'!H112+'App 5-Organics'!L112+'App 5-Organics'!P112</f>
        <v>0</v>
      </c>
      <c r="L113" s="212">
        <f>'App 6-Residual Waste'!F112+'App 6-Residual Waste'!P112+'App 6-Residual Waste'!W112</f>
        <v>1729</v>
      </c>
      <c r="M113" s="212">
        <f>'App 6-Residual Waste'!G112+'App 6-Residual Waste'!Q112+'App 6-Residual Waste'!X112</f>
        <v>0</v>
      </c>
      <c r="N113" s="212">
        <f>'App 6-Residual Waste'!H112+'App 6-Residual Waste'!R112+'App 6-Residual Waste'!Y112</f>
        <v>1729</v>
      </c>
      <c r="O113" s="211"/>
      <c r="P113" s="212">
        <f t="shared" si="12"/>
        <v>2272</v>
      </c>
      <c r="Q113" s="212">
        <f t="shared" si="13"/>
        <v>520.41</v>
      </c>
      <c r="R113" s="212">
        <f t="shared" si="14"/>
        <v>1751.59</v>
      </c>
      <c r="S113" s="213">
        <f t="shared" si="15"/>
        <v>0.22905369718309856</v>
      </c>
      <c r="U113" s="406">
        <f>(P113*1000)/'App 1-Services'!G112/52</f>
        <v>6.2080573589524999</v>
      </c>
      <c r="V113" s="406">
        <f>(P113*1000)/'App 1-Services'!H112/52</f>
        <v>9.6090406184974029</v>
      </c>
    </row>
    <row r="114" spans="1:22" ht="15.75" x14ac:dyDescent="0.25">
      <c r="A114" s="376">
        <v>17420</v>
      </c>
      <c r="B114" s="376" t="s">
        <v>136</v>
      </c>
      <c r="C114" s="376" t="s">
        <v>129</v>
      </c>
      <c r="D114" s="404" t="s">
        <v>4</v>
      </c>
      <c r="E114" s="79"/>
      <c r="F114" s="80">
        <f>'App 4-Recyclables'!F113+'App 4-Recyclables'!J113+'App 4-Recyclables'!N113</f>
        <v>17334.080000000002</v>
      </c>
      <c r="G114" s="80">
        <f>'App 4-Recyclables'!G113+'App 4-Recyclables'!K113+'App 4-Recyclables'!O113</f>
        <v>15234.220000000001</v>
      </c>
      <c r="H114" s="80">
        <f>'App 4-Recyclables'!H113+'App 4-Recyclables'!L113+'App 4-Recyclables'!P113</f>
        <v>2099.86</v>
      </c>
      <c r="I114" s="80">
        <f>'App 5-Organics'!F113+'App 5-Organics'!J113+'App 5-Organics'!N113</f>
        <v>21399.219999999998</v>
      </c>
      <c r="J114" s="80">
        <f>'App 5-Organics'!G113+'App 5-Organics'!K113+'App 5-Organics'!O113</f>
        <v>21286.159999999996</v>
      </c>
      <c r="K114" s="80">
        <f>'App 5-Organics'!H113+'App 5-Organics'!L113+'App 5-Organics'!P113</f>
        <v>113.06</v>
      </c>
      <c r="L114" s="212">
        <f>'App 6-Residual Waste'!F113+'App 6-Residual Waste'!P113+'App 6-Residual Waste'!W113</f>
        <v>50609.29</v>
      </c>
      <c r="M114" s="212">
        <f>'App 6-Residual Waste'!G113+'App 6-Residual Waste'!Q113+'App 6-Residual Waste'!X113</f>
        <v>21.85</v>
      </c>
      <c r="N114" s="212">
        <f>'App 6-Residual Waste'!H113+'App 6-Residual Waste'!R113+'App 6-Residual Waste'!Y113</f>
        <v>50587.44</v>
      </c>
      <c r="O114" s="211"/>
      <c r="P114" s="212">
        <f t="shared" si="12"/>
        <v>89342.59</v>
      </c>
      <c r="Q114" s="212">
        <f t="shared" si="13"/>
        <v>36542.229999999996</v>
      </c>
      <c r="R114" s="212">
        <f t="shared" si="14"/>
        <v>52800.36</v>
      </c>
      <c r="S114" s="213">
        <f t="shared" si="15"/>
        <v>0.40901243180883828</v>
      </c>
      <c r="U114" s="406">
        <f>(P114*1000)/'App 1-Services'!G113/52</f>
        <v>10.425399757097795</v>
      </c>
      <c r="V114" s="406">
        <f>(P114*1000)/'App 1-Services'!H113/52</f>
        <v>32.564332191755859</v>
      </c>
    </row>
    <row r="115" spans="1:22" ht="15.75" x14ac:dyDescent="0.25">
      <c r="A115" s="376">
        <v>17550</v>
      </c>
      <c r="B115" s="376" t="s">
        <v>243</v>
      </c>
      <c r="C115" s="376" t="s">
        <v>131</v>
      </c>
      <c r="D115" s="404" t="s">
        <v>5</v>
      </c>
      <c r="E115" s="79"/>
      <c r="F115" s="80">
        <f>'App 4-Recyclables'!F114+'App 4-Recyclables'!J114+'App 4-Recyclables'!N114</f>
        <v>12307.31</v>
      </c>
      <c r="G115" s="80">
        <f>'App 4-Recyclables'!G114+'App 4-Recyclables'!K114+'App 4-Recyclables'!O114</f>
        <v>11829.31</v>
      </c>
      <c r="H115" s="80">
        <f>'App 4-Recyclables'!H114+'App 4-Recyclables'!L114+'App 4-Recyclables'!P114</f>
        <v>478</v>
      </c>
      <c r="I115" s="80">
        <f>'App 5-Organics'!F114+'App 5-Organics'!J114+'App 5-Organics'!N114</f>
        <v>9908.4699999999993</v>
      </c>
      <c r="J115" s="80">
        <f>'App 5-Organics'!G114+'App 5-Organics'!K114+'App 5-Organics'!O114</f>
        <v>9759.4699999999993</v>
      </c>
      <c r="K115" s="80">
        <f>'App 5-Organics'!H114+'App 5-Organics'!L114+'App 5-Organics'!P114</f>
        <v>149</v>
      </c>
      <c r="L115" s="212">
        <f>'App 6-Residual Waste'!F114+'App 6-Residual Waste'!P114+'App 6-Residual Waste'!W114</f>
        <v>26609.02</v>
      </c>
      <c r="M115" s="212">
        <f>'App 6-Residual Waste'!G114+'App 6-Residual Waste'!Q114+'App 6-Residual Waste'!X114</f>
        <v>0</v>
      </c>
      <c r="N115" s="212">
        <f>'App 6-Residual Waste'!H114+'App 6-Residual Waste'!R114+'App 6-Residual Waste'!Y114</f>
        <v>26609.02</v>
      </c>
      <c r="O115" s="211"/>
      <c r="P115" s="212">
        <f t="shared" si="12"/>
        <v>48824.800000000003</v>
      </c>
      <c r="Q115" s="212">
        <f t="shared" si="13"/>
        <v>21588.78</v>
      </c>
      <c r="R115" s="212">
        <f t="shared" si="14"/>
        <v>27236.02</v>
      </c>
      <c r="S115" s="213">
        <f t="shared" si="15"/>
        <v>0.4421683242942111</v>
      </c>
      <c r="U115" s="406">
        <f>(P115*1000)/'App 1-Services'!G114/52</f>
        <v>9.9875382831632642</v>
      </c>
      <c r="V115" s="406">
        <f>(P115*1000)/'App 1-Services'!H114/52</f>
        <v>25.466190982871208</v>
      </c>
    </row>
    <row r="116" spans="1:22" ht="15.75" x14ac:dyDescent="0.25">
      <c r="A116" s="376">
        <v>17620</v>
      </c>
      <c r="B116" s="376" t="s">
        <v>244</v>
      </c>
      <c r="C116" s="376" t="s">
        <v>163</v>
      </c>
      <c r="D116" s="404" t="s">
        <v>5</v>
      </c>
      <c r="E116" s="79"/>
      <c r="F116" s="80">
        <f>'App 4-Recyclables'!F115+'App 4-Recyclables'!J115+'App 4-Recyclables'!N115</f>
        <v>1096</v>
      </c>
      <c r="G116" s="80">
        <f>'App 4-Recyclables'!G115+'App 4-Recyclables'!K115+'App 4-Recyclables'!O115</f>
        <v>989</v>
      </c>
      <c r="H116" s="80">
        <f>'App 4-Recyclables'!H115+'App 4-Recyclables'!L115+'App 4-Recyclables'!P115</f>
        <v>107</v>
      </c>
      <c r="I116" s="80">
        <f>'App 5-Organics'!F115+'App 5-Organics'!J115+'App 5-Organics'!N115</f>
        <v>551</v>
      </c>
      <c r="J116" s="80">
        <f>'App 5-Organics'!G115+'App 5-Organics'!K115+'App 5-Organics'!O115</f>
        <v>0</v>
      </c>
      <c r="K116" s="80">
        <f>'App 5-Organics'!H115+'App 5-Organics'!L115+'App 5-Organics'!P115</f>
        <v>551</v>
      </c>
      <c r="L116" s="212">
        <f>'App 6-Residual Waste'!F115+'App 6-Residual Waste'!P115+'App 6-Residual Waste'!W115</f>
        <v>7181</v>
      </c>
      <c r="M116" s="212">
        <f>'App 6-Residual Waste'!G115+'App 6-Residual Waste'!Q115+'App 6-Residual Waste'!X115</f>
        <v>1465</v>
      </c>
      <c r="N116" s="212">
        <f>'App 6-Residual Waste'!H115+'App 6-Residual Waste'!R115+'App 6-Residual Waste'!Y115</f>
        <v>5716</v>
      </c>
      <c r="O116" s="211"/>
      <c r="P116" s="212">
        <f t="shared" si="12"/>
        <v>8828</v>
      </c>
      <c r="Q116" s="212">
        <f t="shared" si="13"/>
        <v>2454</v>
      </c>
      <c r="R116" s="212">
        <f t="shared" si="14"/>
        <v>6374</v>
      </c>
      <c r="S116" s="213">
        <f t="shared" si="15"/>
        <v>0.277979157227005</v>
      </c>
      <c r="U116" s="406">
        <f>(P116*1000)/'App 1-Services'!G115/52</f>
        <v>11.690485523290922</v>
      </c>
      <c r="V116" s="406">
        <f>(P116*1000)/'App 1-Services'!H115/52</f>
        <v>38.575149004596859</v>
      </c>
    </row>
    <row r="117" spans="1:22" ht="15.75" x14ac:dyDescent="0.25">
      <c r="A117" s="376">
        <v>17640</v>
      </c>
      <c r="B117" s="376" t="s">
        <v>245</v>
      </c>
      <c r="C117" s="376" t="s">
        <v>704</v>
      </c>
      <c r="D117" s="404" t="s">
        <v>2</v>
      </c>
      <c r="E117" s="79"/>
      <c r="F117" s="80">
        <f>'App 4-Recyclables'!F116+'App 4-Recyclables'!J116+'App 4-Recyclables'!N116</f>
        <v>509</v>
      </c>
      <c r="G117" s="80">
        <f>'App 4-Recyclables'!G116+'App 4-Recyclables'!K116+'App 4-Recyclables'!O116</f>
        <v>478</v>
      </c>
      <c r="H117" s="80">
        <f>'App 4-Recyclables'!H116+'App 4-Recyclables'!L116+'App 4-Recyclables'!P116</f>
        <v>31</v>
      </c>
      <c r="I117" s="80">
        <f>'App 5-Organics'!F116+'App 5-Organics'!J116+'App 5-Organics'!N116</f>
        <v>0</v>
      </c>
      <c r="J117" s="80">
        <f>'App 5-Organics'!G116+'App 5-Organics'!K116+'App 5-Organics'!O116</f>
        <v>0</v>
      </c>
      <c r="K117" s="80">
        <f>'App 5-Organics'!H116+'App 5-Organics'!L116+'App 5-Organics'!P116</f>
        <v>0</v>
      </c>
      <c r="L117" s="212">
        <f>'App 6-Residual Waste'!F116+'App 6-Residual Waste'!P116+'App 6-Residual Waste'!W116</f>
        <v>1872</v>
      </c>
      <c r="M117" s="212">
        <f>'App 6-Residual Waste'!G116+'App 6-Residual Waste'!Q116+'App 6-Residual Waste'!X116</f>
        <v>0</v>
      </c>
      <c r="N117" s="212">
        <f>'App 6-Residual Waste'!H116+'App 6-Residual Waste'!R116+'App 6-Residual Waste'!Y116</f>
        <v>1872</v>
      </c>
      <c r="O117" s="211"/>
      <c r="P117" s="212">
        <f t="shared" si="12"/>
        <v>2381</v>
      </c>
      <c r="Q117" s="212">
        <f t="shared" si="13"/>
        <v>478</v>
      </c>
      <c r="R117" s="212">
        <f t="shared" si="14"/>
        <v>1903</v>
      </c>
      <c r="S117" s="213">
        <f t="shared" si="15"/>
        <v>0.20075598488030238</v>
      </c>
      <c r="U117" s="406">
        <f>(P117*1000)/'App 1-Services'!G116/52</f>
        <v>5.8748346854582412</v>
      </c>
      <c r="V117" s="406">
        <f>(P117*1000)/'App 1-Services'!H116/52</f>
        <v>18.765762925598992</v>
      </c>
    </row>
    <row r="118" spans="1:22" ht="15.75" x14ac:dyDescent="0.25">
      <c r="A118" s="376">
        <v>17650</v>
      </c>
      <c r="B118" s="376" t="s">
        <v>246</v>
      </c>
      <c r="C118" s="376" t="s">
        <v>125</v>
      </c>
      <c r="D118" s="404" t="s">
        <v>2</v>
      </c>
      <c r="E118" s="79"/>
      <c r="F118" s="80">
        <f>'App 4-Recyclables'!F117+'App 4-Recyclables'!J117+'App 4-Recyclables'!N117</f>
        <v>410.65</v>
      </c>
      <c r="G118" s="80">
        <f>'App 4-Recyclables'!G117+'App 4-Recyclables'!K117+'App 4-Recyclables'!O117</f>
        <v>358.34</v>
      </c>
      <c r="H118" s="80">
        <f>'App 4-Recyclables'!H117+'App 4-Recyclables'!L117+'App 4-Recyclables'!P117</f>
        <v>52.31</v>
      </c>
      <c r="I118" s="80">
        <f>'App 5-Organics'!F117+'App 5-Organics'!J117+'App 5-Organics'!N117</f>
        <v>32.54</v>
      </c>
      <c r="J118" s="80">
        <f>'App 5-Organics'!G117+'App 5-Organics'!K117+'App 5-Organics'!O117</f>
        <v>32.54</v>
      </c>
      <c r="K118" s="80">
        <f>'App 5-Organics'!H117+'App 5-Organics'!L117+'App 5-Organics'!P117</f>
        <v>0</v>
      </c>
      <c r="L118" s="212">
        <f>'App 6-Residual Waste'!F117+'App 6-Residual Waste'!P117+'App 6-Residual Waste'!W117</f>
        <v>1055.46</v>
      </c>
      <c r="M118" s="212">
        <f>'App 6-Residual Waste'!G117+'App 6-Residual Waste'!Q117+'App 6-Residual Waste'!X117</f>
        <v>0</v>
      </c>
      <c r="N118" s="212">
        <f>'App 6-Residual Waste'!H117+'App 6-Residual Waste'!R117+'App 6-Residual Waste'!Y117</f>
        <v>1055.46</v>
      </c>
      <c r="O118" s="211"/>
      <c r="P118" s="212">
        <f t="shared" si="12"/>
        <v>1498.65</v>
      </c>
      <c r="Q118" s="212">
        <f t="shared" si="13"/>
        <v>390.88</v>
      </c>
      <c r="R118" s="212">
        <f t="shared" si="14"/>
        <v>1107.77</v>
      </c>
      <c r="S118" s="213">
        <f t="shared" si="15"/>
        <v>0.26082140593200548</v>
      </c>
      <c r="U118" s="406">
        <f>(P118*1000)/'App 1-Services'!G117/52</f>
        <v>4.520105443490011</v>
      </c>
      <c r="V118" s="406">
        <f>(P118*1000)/'App 1-Services'!H117/52</f>
        <v>10.366975650249032</v>
      </c>
    </row>
    <row r="119" spans="1:22" ht="15.75" x14ac:dyDescent="0.25">
      <c r="A119" s="376">
        <v>17750</v>
      </c>
      <c r="B119" s="376" t="s">
        <v>247</v>
      </c>
      <c r="C119" s="376" t="s">
        <v>142</v>
      </c>
      <c r="D119" s="404" t="s">
        <v>2</v>
      </c>
      <c r="E119" s="79"/>
      <c r="F119" s="80">
        <f>'App 4-Recyclables'!F118+'App 4-Recyclables'!J118+'App 4-Recyclables'!N118</f>
        <v>8251.7099999999991</v>
      </c>
      <c r="G119" s="80">
        <f>'App 4-Recyclables'!G118+'App 4-Recyclables'!K118+'App 4-Recyclables'!O118</f>
        <v>7177.18</v>
      </c>
      <c r="H119" s="80">
        <f>'App 4-Recyclables'!H118+'App 4-Recyclables'!L118+'App 4-Recyclables'!P118</f>
        <v>1074.53</v>
      </c>
      <c r="I119" s="80">
        <f>'App 5-Organics'!F118+'App 5-Organics'!J118+'App 5-Organics'!N118</f>
        <v>8097</v>
      </c>
      <c r="J119" s="80">
        <f>'App 5-Organics'!G118+'App 5-Organics'!K118+'App 5-Organics'!O118</f>
        <v>0</v>
      </c>
      <c r="K119" s="80">
        <f>'App 5-Organics'!H118+'App 5-Organics'!L118+'App 5-Organics'!P118</f>
        <v>8097</v>
      </c>
      <c r="L119" s="212">
        <f>'App 6-Residual Waste'!F118+'App 6-Residual Waste'!P118+'App 6-Residual Waste'!W118</f>
        <v>15440</v>
      </c>
      <c r="M119" s="212">
        <f>'App 6-Residual Waste'!G118+'App 6-Residual Waste'!Q118+'App 6-Residual Waste'!X118</f>
        <v>217</v>
      </c>
      <c r="N119" s="212">
        <f>'App 6-Residual Waste'!H118+'App 6-Residual Waste'!R118+'App 6-Residual Waste'!Y118</f>
        <v>15223</v>
      </c>
      <c r="O119" s="211"/>
      <c r="P119" s="212">
        <f t="shared" si="12"/>
        <v>31788.71</v>
      </c>
      <c r="Q119" s="212">
        <f t="shared" si="13"/>
        <v>7394.18</v>
      </c>
      <c r="R119" s="212">
        <f t="shared" si="14"/>
        <v>24394.53</v>
      </c>
      <c r="S119" s="213">
        <f t="shared" si="15"/>
        <v>0.23260396537009526</v>
      </c>
      <c r="U119" s="406">
        <f>(P119*1000)/'App 1-Services'!G118/52</f>
        <v>9.5114722764788109</v>
      </c>
      <c r="V119" s="406">
        <f>(P119*1000)/'App 1-Services'!H118/52</f>
        <v>25.198736444923586</v>
      </c>
    </row>
    <row r="120" spans="1:22" ht="15.75" x14ac:dyDescent="0.25">
      <c r="A120" s="376">
        <v>17850</v>
      </c>
      <c r="B120" s="376" t="s">
        <v>248</v>
      </c>
      <c r="C120" s="376" t="s">
        <v>125</v>
      </c>
      <c r="D120" s="404" t="s">
        <v>2</v>
      </c>
      <c r="E120" s="79"/>
      <c r="F120" s="80">
        <f>'App 4-Recyclables'!F119+'App 4-Recyclables'!J119+'App 4-Recyclables'!N119</f>
        <v>731.95</v>
      </c>
      <c r="G120" s="80">
        <f>'App 4-Recyclables'!G119+'App 4-Recyclables'!K119+'App 4-Recyclables'!O119</f>
        <v>725.25</v>
      </c>
      <c r="H120" s="80">
        <f>'App 4-Recyclables'!H119+'App 4-Recyclables'!L119+'App 4-Recyclables'!P119</f>
        <v>6.7</v>
      </c>
      <c r="I120" s="80">
        <f>'App 5-Organics'!F119+'App 5-Organics'!J119+'App 5-Organics'!N119</f>
        <v>1688.88</v>
      </c>
      <c r="J120" s="80">
        <f>'App 5-Organics'!G119+'App 5-Organics'!K119+'App 5-Organics'!O119</f>
        <v>1617</v>
      </c>
      <c r="K120" s="80">
        <f>'App 5-Organics'!H119+'App 5-Organics'!L119+'App 5-Organics'!P119</f>
        <v>71.88</v>
      </c>
      <c r="L120" s="212">
        <f>'App 6-Residual Waste'!F119+'App 6-Residual Waste'!P119+'App 6-Residual Waste'!W119</f>
        <v>744.08</v>
      </c>
      <c r="M120" s="212">
        <f>'App 6-Residual Waste'!G119+'App 6-Residual Waste'!Q119+'App 6-Residual Waste'!X119</f>
        <v>2.4700000000000228</v>
      </c>
      <c r="N120" s="212">
        <f>'App 6-Residual Waste'!H119+'App 6-Residual Waste'!R119+'App 6-Residual Waste'!Y119</f>
        <v>741.61</v>
      </c>
      <c r="O120" s="211"/>
      <c r="P120" s="212">
        <f t="shared" si="12"/>
        <v>3164.91</v>
      </c>
      <c r="Q120" s="212">
        <f t="shared" si="13"/>
        <v>2344.7199999999998</v>
      </c>
      <c r="R120" s="212">
        <f t="shared" si="14"/>
        <v>820.19</v>
      </c>
      <c r="S120" s="213">
        <f t="shared" si="15"/>
        <v>0.74084887089996232</v>
      </c>
      <c r="U120" s="406">
        <f>(P120*1000)/'App 1-Services'!G119/52</f>
        <v>19.929159740063476</v>
      </c>
      <c r="V120" s="406">
        <f>(P120*1000)/'App 1-Services'!H119/52</f>
        <v>82.137184677670504</v>
      </c>
    </row>
    <row r="121" spans="1:22" ht="15.75" x14ac:dyDescent="0.25">
      <c r="A121" s="376">
        <v>17900</v>
      </c>
      <c r="B121" s="376" t="s">
        <v>249</v>
      </c>
      <c r="C121" s="376" t="s">
        <v>293</v>
      </c>
      <c r="D121" s="404" t="s">
        <v>2</v>
      </c>
      <c r="E121" s="79"/>
      <c r="F121" s="80">
        <f>'App 4-Recyclables'!F120+'App 4-Recyclables'!J120+'App 4-Recyclables'!N120</f>
        <v>0</v>
      </c>
      <c r="G121" s="80">
        <f>'App 4-Recyclables'!G120+'App 4-Recyclables'!K120+'App 4-Recyclables'!O120</f>
        <v>0</v>
      </c>
      <c r="H121" s="80">
        <f>'App 4-Recyclables'!H120+'App 4-Recyclables'!L120+'App 4-Recyclables'!P120</f>
        <v>0</v>
      </c>
      <c r="I121" s="80">
        <f>'App 5-Organics'!F120+'App 5-Organics'!J120+'App 5-Organics'!N120</f>
        <v>0</v>
      </c>
      <c r="J121" s="80">
        <f>'App 5-Organics'!G120+'App 5-Organics'!K120+'App 5-Organics'!O120</f>
        <v>0</v>
      </c>
      <c r="K121" s="80">
        <f>'App 5-Organics'!H120+'App 5-Organics'!L120+'App 5-Organics'!P120</f>
        <v>0</v>
      </c>
      <c r="L121" s="212">
        <f>'App 6-Residual Waste'!F120+'App 6-Residual Waste'!P120+'App 6-Residual Waste'!W120</f>
        <v>1800</v>
      </c>
      <c r="M121" s="212">
        <f>'App 6-Residual Waste'!G120+'App 6-Residual Waste'!Q120+'App 6-Residual Waste'!X120</f>
        <v>0</v>
      </c>
      <c r="N121" s="212">
        <f>'App 6-Residual Waste'!H120+'App 6-Residual Waste'!R120+'App 6-Residual Waste'!Y120</f>
        <v>1800</v>
      </c>
      <c r="O121" s="211"/>
      <c r="P121" s="212">
        <f t="shared" si="12"/>
        <v>1800</v>
      </c>
      <c r="Q121" s="212">
        <f t="shared" si="13"/>
        <v>0</v>
      </c>
      <c r="R121" s="212">
        <f t="shared" si="14"/>
        <v>1800</v>
      </c>
      <c r="S121" s="213">
        <f t="shared" si="15"/>
        <v>0</v>
      </c>
      <c r="U121" s="406">
        <f>(P121*1000)/'App 1-Services'!G120/52</f>
        <v>5.1282051282051286</v>
      </c>
      <c r="V121" s="406">
        <f>(P121*1000)/'App 1-Services'!H120/52</f>
        <v>9.5254222937216877</v>
      </c>
    </row>
    <row r="122" spans="1:22" ht="15.75" x14ac:dyDescent="0.25">
      <c r="A122" s="376">
        <v>17950</v>
      </c>
      <c r="B122" s="376" t="s">
        <v>250</v>
      </c>
      <c r="C122" s="376" t="s">
        <v>293</v>
      </c>
      <c r="D122" s="404" t="s">
        <v>2</v>
      </c>
      <c r="E122" s="79"/>
      <c r="F122" s="80">
        <f>'App 4-Recyclables'!F121+'App 4-Recyclables'!J121+'App 4-Recyclables'!N121</f>
        <v>130</v>
      </c>
      <c r="G122" s="80">
        <f>'App 4-Recyclables'!G121+'App 4-Recyclables'!K121+'App 4-Recyclables'!O121</f>
        <v>129</v>
      </c>
      <c r="H122" s="80">
        <f>'App 4-Recyclables'!H121+'App 4-Recyclables'!L121+'App 4-Recyclables'!P121</f>
        <v>1</v>
      </c>
      <c r="I122" s="80">
        <f>'App 5-Organics'!F121+'App 5-Organics'!J121+'App 5-Organics'!N121</f>
        <v>640</v>
      </c>
      <c r="J122" s="80">
        <f>'App 5-Organics'!G121+'App 5-Organics'!K121+'App 5-Organics'!O121</f>
        <v>640</v>
      </c>
      <c r="K122" s="80">
        <f>'App 5-Organics'!H121+'App 5-Organics'!L121+'App 5-Organics'!P121</f>
        <v>0</v>
      </c>
      <c r="L122" s="212">
        <f>'App 6-Residual Waste'!F121+'App 6-Residual Waste'!P121+'App 6-Residual Waste'!W121</f>
        <v>2240</v>
      </c>
      <c r="M122" s="212">
        <f>'App 6-Residual Waste'!G121+'App 6-Residual Waste'!Q121+'App 6-Residual Waste'!X121</f>
        <v>0</v>
      </c>
      <c r="N122" s="212">
        <f>'App 6-Residual Waste'!H121+'App 6-Residual Waste'!R121+'App 6-Residual Waste'!Y121</f>
        <v>2240</v>
      </c>
      <c r="O122" s="211"/>
      <c r="P122" s="212">
        <f t="shared" si="12"/>
        <v>3010</v>
      </c>
      <c r="Q122" s="212">
        <f t="shared" si="13"/>
        <v>769</v>
      </c>
      <c r="R122" s="212">
        <f t="shared" si="14"/>
        <v>2241</v>
      </c>
      <c r="S122" s="213">
        <f t="shared" si="15"/>
        <v>0.25548172757475085</v>
      </c>
      <c r="U122" s="406">
        <f>(P122*1000)/'App 1-Services'!G121/52</f>
        <v>19.953331742370004</v>
      </c>
      <c r="V122" s="406">
        <f>(P122*1000)/'App 1-Services'!H121/52</f>
        <v>74.497574497574504</v>
      </c>
    </row>
    <row r="123" spans="1:22" ht="15.75" x14ac:dyDescent="0.25">
      <c r="A123" s="376">
        <v>18020</v>
      </c>
      <c r="B123" s="376" t="s">
        <v>251</v>
      </c>
      <c r="C123" s="376" t="s">
        <v>293</v>
      </c>
      <c r="D123" s="404" t="s">
        <v>2</v>
      </c>
      <c r="E123" s="79"/>
      <c r="F123" s="80">
        <f>'App 4-Recyclables'!F122+'App 4-Recyclables'!J122+'App 4-Recyclables'!N122</f>
        <v>895</v>
      </c>
      <c r="G123" s="80">
        <f>'App 4-Recyclables'!G122+'App 4-Recyclables'!K122+'App 4-Recyclables'!O122</f>
        <v>861</v>
      </c>
      <c r="H123" s="80">
        <f>'App 4-Recyclables'!H122+'App 4-Recyclables'!L122+'App 4-Recyclables'!P122</f>
        <v>34</v>
      </c>
      <c r="I123" s="80">
        <f>'App 5-Organics'!F122+'App 5-Organics'!J122+'App 5-Organics'!N122</f>
        <v>0</v>
      </c>
      <c r="J123" s="80">
        <f>'App 5-Organics'!G122+'App 5-Organics'!K122+'App 5-Organics'!O122</f>
        <v>0</v>
      </c>
      <c r="K123" s="80">
        <f>'App 5-Organics'!H122+'App 5-Organics'!L122+'App 5-Organics'!P122</f>
        <v>0</v>
      </c>
      <c r="L123" s="212">
        <f>'App 6-Residual Waste'!F122+'App 6-Residual Waste'!P122+'App 6-Residual Waste'!W122</f>
        <v>1780</v>
      </c>
      <c r="M123" s="212">
        <f>'App 6-Residual Waste'!G122+'App 6-Residual Waste'!Q122+'App 6-Residual Waste'!X122</f>
        <v>0</v>
      </c>
      <c r="N123" s="212">
        <f>'App 6-Residual Waste'!H122+'App 6-Residual Waste'!R122+'App 6-Residual Waste'!Y122</f>
        <v>1780</v>
      </c>
      <c r="O123" s="211"/>
      <c r="P123" s="212">
        <f t="shared" si="12"/>
        <v>2675</v>
      </c>
      <c r="Q123" s="212">
        <f t="shared" si="13"/>
        <v>861</v>
      </c>
      <c r="R123" s="212">
        <f t="shared" si="14"/>
        <v>1814</v>
      </c>
      <c r="S123" s="213">
        <f t="shared" si="15"/>
        <v>0.32186915887850465</v>
      </c>
      <c r="U123" s="406">
        <f>(P123*1000)/'App 1-Services'!G122/52</f>
        <v>5.3098996379343202</v>
      </c>
      <c r="V123" s="406">
        <f>(P123*1000)/'App 1-Services'!H122/52</f>
        <v>14.614291958041958</v>
      </c>
    </row>
    <row r="124" spans="1:22" ht="15.75" x14ac:dyDescent="0.25">
      <c r="A124" s="376">
        <v>18050</v>
      </c>
      <c r="B124" s="376" t="s">
        <v>252</v>
      </c>
      <c r="C124" s="376" t="s">
        <v>127</v>
      </c>
      <c r="D124" s="404" t="s">
        <v>4</v>
      </c>
      <c r="E124" s="79"/>
      <c r="F124" s="80">
        <f>'App 4-Recyclables'!F123+'App 4-Recyclables'!J123+'App 4-Recyclables'!N123</f>
        <v>6186.51</v>
      </c>
      <c r="G124" s="80">
        <f>'App 4-Recyclables'!G123+'App 4-Recyclables'!K123+'App 4-Recyclables'!O123</f>
        <v>5773.45</v>
      </c>
      <c r="H124" s="80">
        <f>'App 4-Recyclables'!H123+'App 4-Recyclables'!L123+'App 4-Recyclables'!P123</f>
        <v>413.06</v>
      </c>
      <c r="I124" s="80">
        <f>'App 5-Organics'!F123+'App 5-Organics'!J123+'App 5-Organics'!N123</f>
        <v>2159.2600000000002</v>
      </c>
      <c r="J124" s="80">
        <f>'App 5-Organics'!G123+'App 5-Organics'!K123+'App 5-Organics'!O123</f>
        <v>2159.2600000000002</v>
      </c>
      <c r="K124" s="80">
        <f>'App 5-Organics'!H123+'App 5-Organics'!L123+'App 5-Organics'!P123</f>
        <v>0</v>
      </c>
      <c r="L124" s="212">
        <f>'App 6-Residual Waste'!F123+'App 6-Residual Waste'!P123+'App 6-Residual Waste'!W123</f>
        <v>16593.509999999998</v>
      </c>
      <c r="M124" s="212">
        <f>'App 6-Residual Waste'!G123+'App 6-Residual Waste'!Q123+'App 6-Residual Waste'!X123</f>
        <v>303</v>
      </c>
      <c r="N124" s="212">
        <f>'App 6-Residual Waste'!H123+'App 6-Residual Waste'!R123+'App 6-Residual Waste'!Y123</f>
        <v>16290.51</v>
      </c>
      <c r="O124" s="211"/>
      <c r="P124" s="212">
        <f t="shared" si="12"/>
        <v>24939.279999999999</v>
      </c>
      <c r="Q124" s="212">
        <f t="shared" si="13"/>
        <v>8235.7099999999991</v>
      </c>
      <c r="R124" s="212">
        <f t="shared" si="14"/>
        <v>16703.57</v>
      </c>
      <c r="S124" s="213">
        <f t="shared" si="15"/>
        <v>0.33023046375035686</v>
      </c>
      <c r="U124" s="406">
        <f>(P124*1000)/'App 1-Services'!G123/52</f>
        <v>6.5371089941054228</v>
      </c>
      <c r="V124" s="406">
        <f>(P124*1000)/'App 1-Services'!H123/52</f>
        <v>16.450061343218607</v>
      </c>
    </row>
    <row r="125" spans="1:22" ht="15.75" x14ac:dyDescent="0.25">
      <c r="A125" s="376">
        <v>18100</v>
      </c>
      <c r="B125" s="376" t="s">
        <v>253</v>
      </c>
      <c r="C125" s="376" t="s">
        <v>293</v>
      </c>
      <c r="D125" s="404" t="s">
        <v>2</v>
      </c>
      <c r="E125" s="79"/>
      <c r="F125" s="80">
        <f>'App 4-Recyclables'!F124+'App 4-Recyclables'!J124+'App 4-Recyclables'!N124</f>
        <v>477.9</v>
      </c>
      <c r="G125" s="80">
        <f>'App 4-Recyclables'!G124+'App 4-Recyclables'!K124+'App 4-Recyclables'!O124</f>
        <v>455.38</v>
      </c>
      <c r="H125" s="80">
        <f>'App 4-Recyclables'!H124+'App 4-Recyclables'!L124+'App 4-Recyclables'!P124</f>
        <v>22.52</v>
      </c>
      <c r="I125" s="80">
        <f>'App 5-Organics'!F124+'App 5-Organics'!J124+'App 5-Organics'!N124</f>
        <v>238.05</v>
      </c>
      <c r="J125" s="80">
        <f>'App 5-Organics'!G124+'App 5-Organics'!K124+'App 5-Organics'!O124</f>
        <v>0</v>
      </c>
      <c r="K125" s="80">
        <f>'App 5-Organics'!H124+'App 5-Organics'!L124+'App 5-Organics'!P124</f>
        <v>238.05</v>
      </c>
      <c r="L125" s="212">
        <f>'App 6-Residual Waste'!F124+'App 6-Residual Waste'!P124+'App 6-Residual Waste'!W124</f>
        <v>1735.1</v>
      </c>
      <c r="M125" s="212">
        <f>'App 6-Residual Waste'!G124+'App 6-Residual Waste'!Q124+'App 6-Residual Waste'!X124</f>
        <v>0</v>
      </c>
      <c r="N125" s="212">
        <f>'App 6-Residual Waste'!H124+'App 6-Residual Waste'!R124+'App 6-Residual Waste'!Y124</f>
        <v>1735.1</v>
      </c>
      <c r="O125" s="211"/>
      <c r="P125" s="212">
        <f t="shared" si="12"/>
        <v>2451.0500000000002</v>
      </c>
      <c r="Q125" s="212">
        <f t="shared" si="13"/>
        <v>455.38</v>
      </c>
      <c r="R125" s="212">
        <f t="shared" si="14"/>
        <v>1995.6699999999998</v>
      </c>
      <c r="S125" s="213">
        <f t="shared" si="15"/>
        <v>0.18578976357071458</v>
      </c>
      <c r="U125" s="406">
        <f>(P125*1000)/'App 1-Services'!G124/52</f>
        <v>12.711860011617292</v>
      </c>
      <c r="V125" s="406">
        <f>(P125*1000)/'App 1-Services'!H124/52</f>
        <v>30.767347861016269</v>
      </c>
    </row>
    <row r="126" spans="1:22" ht="15.75" x14ac:dyDescent="0.25">
      <c r="A126" s="376">
        <v>18200</v>
      </c>
      <c r="B126" s="376" t="s">
        <v>254</v>
      </c>
      <c r="C126" s="376" t="s">
        <v>703</v>
      </c>
      <c r="D126" s="404" t="s">
        <v>2</v>
      </c>
      <c r="E126" s="79"/>
      <c r="F126" s="80">
        <f>'App 4-Recyclables'!F125+'App 4-Recyclables'!J125+'App 4-Recyclables'!N125</f>
        <v>55.15</v>
      </c>
      <c r="G126" s="80">
        <f>'App 4-Recyclables'!G125+'App 4-Recyclables'!K125+'App 4-Recyclables'!O125</f>
        <v>50.35</v>
      </c>
      <c r="H126" s="80">
        <f>'App 4-Recyclables'!H125+'App 4-Recyclables'!L125+'App 4-Recyclables'!P125</f>
        <v>4.8</v>
      </c>
      <c r="I126" s="80">
        <f>'App 5-Organics'!F125+'App 5-Organics'!J125+'App 5-Organics'!N125</f>
        <v>828</v>
      </c>
      <c r="J126" s="80">
        <f>'App 5-Organics'!G125+'App 5-Organics'!K125+'App 5-Organics'!O125</f>
        <v>828</v>
      </c>
      <c r="K126" s="80">
        <f>'App 5-Organics'!H125+'App 5-Organics'!L125+'App 5-Organics'!P125</f>
        <v>0</v>
      </c>
      <c r="L126" s="212">
        <f>'App 6-Residual Waste'!F125+'App 6-Residual Waste'!P125+'App 6-Residual Waste'!W125</f>
        <v>3545.43</v>
      </c>
      <c r="M126" s="212">
        <f>'App 6-Residual Waste'!G125+'App 6-Residual Waste'!Q125+'App 6-Residual Waste'!X125</f>
        <v>0.35</v>
      </c>
      <c r="N126" s="212">
        <f>'App 6-Residual Waste'!H125+'App 6-Residual Waste'!R125+'App 6-Residual Waste'!Y125</f>
        <v>3545.08</v>
      </c>
      <c r="O126" s="211"/>
      <c r="P126" s="212">
        <f t="shared" si="12"/>
        <v>4428.58</v>
      </c>
      <c r="Q126" s="212">
        <f t="shared" si="13"/>
        <v>878.7</v>
      </c>
      <c r="R126" s="212">
        <f t="shared" si="14"/>
        <v>3549.88</v>
      </c>
      <c r="S126" s="213">
        <f t="shared" si="15"/>
        <v>0.19841574500178388</v>
      </c>
      <c r="U126" s="406">
        <f>(P126*1000)/'App 1-Services'!G125/52</f>
        <v>12.232835392128699</v>
      </c>
      <c r="V126" s="406">
        <f>(P126*1000)/'App 1-Services'!H125/52</f>
        <v>31.484288354898336</v>
      </c>
    </row>
    <row r="127" spans="1:22" ht="15.75" x14ac:dyDescent="0.25">
      <c r="A127" s="376">
        <v>18230</v>
      </c>
      <c r="B127" s="376" t="s">
        <v>290</v>
      </c>
      <c r="C127" s="376" t="s">
        <v>293</v>
      </c>
      <c r="D127" s="404" t="s">
        <v>2</v>
      </c>
      <c r="E127" s="79"/>
      <c r="F127" s="80">
        <f>'App 4-Recyclables'!F126+'App 4-Recyclables'!J126+'App 4-Recyclables'!N126</f>
        <v>4262</v>
      </c>
      <c r="G127" s="80">
        <f>'App 4-Recyclables'!G126+'App 4-Recyclables'!K126+'App 4-Recyclables'!O126</f>
        <v>3968</v>
      </c>
      <c r="H127" s="80">
        <f>'App 4-Recyclables'!H126+'App 4-Recyclables'!L126+'App 4-Recyclables'!P126</f>
        <v>294</v>
      </c>
      <c r="I127" s="80">
        <f>'App 5-Organics'!F126+'App 5-Organics'!J126+'App 5-Organics'!N126</f>
        <v>618</v>
      </c>
      <c r="J127" s="80">
        <f>'App 5-Organics'!G126+'App 5-Organics'!K126+'App 5-Organics'!O126</f>
        <v>618</v>
      </c>
      <c r="K127" s="80">
        <f>'App 5-Organics'!H126+'App 5-Organics'!L126+'App 5-Organics'!P126</f>
        <v>0</v>
      </c>
      <c r="L127" s="212">
        <f>'App 6-Residual Waste'!F126+'App 6-Residual Waste'!P126+'App 6-Residual Waste'!W126</f>
        <v>16567</v>
      </c>
      <c r="M127" s="212">
        <f>'App 6-Residual Waste'!G126+'App 6-Residual Waste'!Q126+'App 6-Residual Waste'!X126</f>
        <v>43</v>
      </c>
      <c r="N127" s="212">
        <f>'App 6-Residual Waste'!H126+'App 6-Residual Waste'!R126+'App 6-Residual Waste'!Y126</f>
        <v>16524</v>
      </c>
      <c r="O127" s="211"/>
      <c r="P127" s="212">
        <f t="shared" si="12"/>
        <v>21447</v>
      </c>
      <c r="Q127" s="212">
        <f t="shared" si="13"/>
        <v>4629</v>
      </c>
      <c r="R127" s="212">
        <f t="shared" si="14"/>
        <v>16818</v>
      </c>
      <c r="S127" s="213">
        <f t="shared" si="15"/>
        <v>0.21583438243110925</v>
      </c>
      <c r="U127" s="406">
        <f>(P127*1000)/'App 1-Services'!G126/52</f>
        <v>8.0165271957143514</v>
      </c>
      <c r="V127" s="406">
        <f>(P127*1000)/'App 1-Services'!H126/52</f>
        <v>18.709108990351901</v>
      </c>
    </row>
    <row r="128" spans="1:22" ht="15.75" x14ac:dyDescent="0.25">
      <c r="A128" s="376">
        <v>18250</v>
      </c>
      <c r="B128" s="376" t="s">
        <v>255</v>
      </c>
      <c r="C128" s="376" t="s">
        <v>190</v>
      </c>
      <c r="D128" s="404" t="s">
        <v>4</v>
      </c>
      <c r="E128" s="79"/>
      <c r="F128" s="80">
        <f>'App 4-Recyclables'!F127+'App 4-Recyclables'!J127+'App 4-Recyclables'!N127</f>
        <v>6886</v>
      </c>
      <c r="G128" s="80">
        <f>'App 4-Recyclables'!G127+'App 4-Recyclables'!K127+'App 4-Recyclables'!O127</f>
        <v>6072</v>
      </c>
      <c r="H128" s="80">
        <f>'App 4-Recyclables'!H127+'App 4-Recyclables'!L127+'App 4-Recyclables'!P127</f>
        <v>814</v>
      </c>
      <c r="I128" s="80">
        <f>'App 5-Organics'!F127+'App 5-Organics'!J127+'App 5-Organics'!N127</f>
        <v>6471</v>
      </c>
      <c r="J128" s="80">
        <f>'App 5-Organics'!G127+'App 5-Organics'!K127+'App 5-Organics'!O127</f>
        <v>6336</v>
      </c>
      <c r="K128" s="80">
        <f>'App 5-Organics'!H127+'App 5-Organics'!L127+'App 5-Organics'!P127</f>
        <v>135</v>
      </c>
      <c r="L128" s="212">
        <f>'App 6-Residual Waste'!F127+'App 6-Residual Waste'!P127+'App 6-Residual Waste'!W127</f>
        <v>17728</v>
      </c>
      <c r="M128" s="212">
        <f>'App 6-Residual Waste'!G127+'App 6-Residual Waste'!Q127+'App 6-Residual Waste'!X127</f>
        <v>0</v>
      </c>
      <c r="N128" s="212">
        <f>'App 6-Residual Waste'!H127+'App 6-Residual Waste'!R127+'App 6-Residual Waste'!Y127</f>
        <v>17728</v>
      </c>
      <c r="O128" s="211"/>
      <c r="P128" s="212">
        <f t="shared" si="12"/>
        <v>31085</v>
      </c>
      <c r="Q128" s="212">
        <f t="shared" si="13"/>
        <v>12408</v>
      </c>
      <c r="R128" s="212">
        <f t="shared" si="14"/>
        <v>18677</v>
      </c>
      <c r="S128" s="213">
        <f t="shared" si="15"/>
        <v>0.39916358372205246</v>
      </c>
      <c r="U128" s="406">
        <f>(P128*1000)/'App 1-Services'!G127/52</f>
        <v>7.6803985653702354</v>
      </c>
      <c r="V128" s="406">
        <f>(P128*1000)/'App 1-Services'!H127/52</f>
        <v>20.86230409501157</v>
      </c>
    </row>
    <row r="129" spans="1:35" ht="15.75" x14ac:dyDescent="0.25">
      <c r="A129" s="376">
        <v>18350</v>
      </c>
      <c r="B129" s="376" t="s">
        <v>256</v>
      </c>
      <c r="C129" s="376" t="s">
        <v>291</v>
      </c>
      <c r="D129" s="404" t="s">
        <v>3</v>
      </c>
      <c r="E129" s="79"/>
      <c r="F129" s="80">
        <f>'App 4-Recyclables'!F128+'App 4-Recyclables'!J128+'App 4-Recyclables'!N128</f>
        <v>5513.88</v>
      </c>
      <c r="G129" s="80">
        <f>'App 4-Recyclables'!G128+'App 4-Recyclables'!K128+'App 4-Recyclables'!O128</f>
        <v>5352.66</v>
      </c>
      <c r="H129" s="80">
        <f>'App 4-Recyclables'!H128+'App 4-Recyclables'!L128+'App 4-Recyclables'!P128</f>
        <v>161.22</v>
      </c>
      <c r="I129" s="80">
        <f>'App 5-Organics'!F128+'App 5-Organics'!J128+'App 5-Organics'!N128</f>
        <v>7160.09</v>
      </c>
      <c r="J129" s="80">
        <f>'App 5-Organics'!G128+'App 5-Organics'!K128+'App 5-Organics'!O128</f>
        <v>7115.09</v>
      </c>
      <c r="K129" s="80">
        <f>'App 5-Organics'!H128+'App 5-Organics'!L128+'App 5-Organics'!P128</f>
        <v>45</v>
      </c>
      <c r="L129" s="212">
        <f>'App 6-Residual Waste'!F128+'App 6-Residual Waste'!P128+'App 6-Residual Waste'!W128</f>
        <v>11588.32</v>
      </c>
      <c r="M129" s="212">
        <f>'App 6-Residual Waste'!G128+'App 6-Residual Waste'!Q128+'App 6-Residual Waste'!X128</f>
        <v>1492.4699999999998</v>
      </c>
      <c r="N129" s="212">
        <f>'App 6-Residual Waste'!H128+'App 6-Residual Waste'!R128+'App 6-Residual Waste'!Y128</f>
        <v>10095.85</v>
      </c>
      <c r="O129" s="211"/>
      <c r="P129" s="212">
        <f t="shared" si="12"/>
        <v>24262.29</v>
      </c>
      <c r="Q129" s="212">
        <f t="shared" si="13"/>
        <v>13960.22</v>
      </c>
      <c r="R129" s="212">
        <f t="shared" si="14"/>
        <v>10302.07</v>
      </c>
      <c r="S129" s="213">
        <f t="shared" si="15"/>
        <v>0.5753875664663145</v>
      </c>
      <c r="U129" s="406">
        <f>(P129*1000)/'App 1-Services'!G128/52</f>
        <v>9.5523083222438334</v>
      </c>
      <c r="V129" s="406">
        <f>(P129*1000)/'App 1-Services'!H128/52</f>
        <v>25.335713509991312</v>
      </c>
    </row>
    <row r="130" spans="1:35" ht="15.75" x14ac:dyDescent="0.25">
      <c r="A130" s="376">
        <v>18400</v>
      </c>
      <c r="B130" s="376" t="s">
        <v>257</v>
      </c>
      <c r="C130" s="376" t="s">
        <v>156</v>
      </c>
      <c r="D130" s="404" t="s">
        <v>5</v>
      </c>
      <c r="E130" s="79"/>
      <c r="F130" s="80">
        <f>'App 4-Recyclables'!F129+'App 4-Recyclables'!J129+'App 4-Recyclables'!N129</f>
        <v>7890.9100000000008</v>
      </c>
      <c r="G130" s="80">
        <f>'App 4-Recyclables'!G129+'App 4-Recyclables'!K129+'App 4-Recyclables'!O129</f>
        <v>7586.829999999999</v>
      </c>
      <c r="H130" s="80">
        <f>'App 4-Recyclables'!H129+'App 4-Recyclables'!L129+'App 4-Recyclables'!P129</f>
        <v>304.08</v>
      </c>
      <c r="I130" s="80">
        <f>'App 5-Organics'!F129+'App 5-Organics'!J129+'App 5-Organics'!N129</f>
        <v>5854.24</v>
      </c>
      <c r="J130" s="80">
        <f>'App 5-Organics'!G129+'App 5-Organics'!K129+'App 5-Organics'!O129</f>
        <v>5854.24</v>
      </c>
      <c r="K130" s="80">
        <f>'App 5-Organics'!H129+'App 5-Organics'!L129+'App 5-Organics'!P129</f>
        <v>0</v>
      </c>
      <c r="L130" s="212">
        <f>'App 6-Residual Waste'!F129+'App 6-Residual Waste'!P129+'App 6-Residual Waste'!W129</f>
        <v>17095.600000000002</v>
      </c>
      <c r="M130" s="212">
        <f>'App 6-Residual Waste'!G129+'App 6-Residual Waste'!Q129+'App 6-Residual Waste'!X129</f>
        <v>108.81000000000034</v>
      </c>
      <c r="N130" s="212">
        <f>'App 6-Residual Waste'!H129+'App 6-Residual Waste'!R129+'App 6-Residual Waste'!Y129</f>
        <v>16986.79</v>
      </c>
      <c r="O130" s="211"/>
      <c r="P130" s="212">
        <f t="shared" si="12"/>
        <v>30840.750000000004</v>
      </c>
      <c r="Q130" s="212">
        <f t="shared" si="13"/>
        <v>13549.88</v>
      </c>
      <c r="R130" s="212">
        <f t="shared" si="14"/>
        <v>17290.870000000003</v>
      </c>
      <c r="S130" s="213">
        <f t="shared" si="15"/>
        <v>0.43934988610847653</v>
      </c>
      <c r="U130" s="406">
        <f>(P130*1000)/'App 1-Services'!G129/52</f>
        <v>12.077039771810588</v>
      </c>
      <c r="V130" s="406">
        <f>(P130*1000)/'App 1-Services'!H129/52</f>
        <v>34.976195444586082</v>
      </c>
    </row>
    <row r="131" spans="1:35" ht="15.75" x14ac:dyDescent="0.25">
      <c r="A131" s="376">
        <v>18450</v>
      </c>
      <c r="B131" s="376" t="s">
        <v>258</v>
      </c>
      <c r="C131" s="376" t="s">
        <v>291</v>
      </c>
      <c r="D131" s="404" t="s">
        <v>3</v>
      </c>
      <c r="E131" s="79"/>
      <c r="F131" s="80">
        <f>'App 4-Recyclables'!F130+'App 4-Recyclables'!J130+'App 4-Recyclables'!N130</f>
        <v>22742.639999999999</v>
      </c>
      <c r="G131" s="80">
        <f>'App 4-Recyclables'!G130+'App 4-Recyclables'!K130+'App 4-Recyclables'!O130</f>
        <v>21285.64</v>
      </c>
      <c r="H131" s="80">
        <f>'App 4-Recyclables'!H130+'App 4-Recyclables'!L130+'App 4-Recyclables'!P130</f>
        <v>1457</v>
      </c>
      <c r="I131" s="80">
        <f>'App 5-Organics'!F130+'App 5-Organics'!J130+'App 5-Organics'!N130</f>
        <v>22144.3</v>
      </c>
      <c r="J131" s="80">
        <f>'App 5-Organics'!G130+'App 5-Organics'!K130+'App 5-Organics'!O130</f>
        <v>22034.959999999999</v>
      </c>
      <c r="K131" s="80">
        <f>'App 5-Organics'!H130+'App 5-Organics'!L130+'App 5-Organics'!P130</f>
        <v>109.34</v>
      </c>
      <c r="L131" s="212">
        <f>'App 6-Residual Waste'!F130+'App 6-Residual Waste'!P130+'App 6-Residual Waste'!W130</f>
        <v>46253.72</v>
      </c>
      <c r="M131" s="212">
        <f>'App 6-Residual Waste'!G130+'App 6-Residual Waste'!Q130+'App 6-Residual Waste'!X130</f>
        <v>3907.7200000000003</v>
      </c>
      <c r="N131" s="212">
        <f>'App 6-Residual Waste'!H130+'App 6-Residual Waste'!R130+'App 6-Residual Waste'!Y130</f>
        <v>42346</v>
      </c>
      <c r="O131" s="211"/>
      <c r="P131" s="212">
        <f t="shared" si="12"/>
        <v>91140.66</v>
      </c>
      <c r="Q131" s="212">
        <f t="shared" si="13"/>
        <v>47228.32</v>
      </c>
      <c r="R131" s="212">
        <f t="shared" si="14"/>
        <v>43912.34</v>
      </c>
      <c r="S131" s="213">
        <f t="shared" si="15"/>
        <v>0.51819155138880935</v>
      </c>
      <c r="U131" s="406">
        <f>(P131*1000)/'App 1-Services'!G130/52</f>
        <v>8.2982818292434661</v>
      </c>
      <c r="V131" s="406">
        <f>(P131*1000)/'App 1-Services'!H130/52</f>
        <v>21.262176555505683</v>
      </c>
    </row>
    <row r="132" spans="1:35" ht="15.75" x14ac:dyDescent="0.25">
      <c r="A132" s="376">
        <v>18500</v>
      </c>
      <c r="B132" s="376" t="s">
        <v>259</v>
      </c>
      <c r="C132" s="376" t="s">
        <v>127</v>
      </c>
      <c r="D132" s="404" t="s">
        <v>4</v>
      </c>
      <c r="E132" s="79"/>
      <c r="F132" s="80">
        <f>'App 4-Recyclables'!F131+'App 4-Recyclables'!J131+'App 4-Recyclables'!N131</f>
        <v>5773.48</v>
      </c>
      <c r="G132" s="80">
        <f>'App 4-Recyclables'!G131+'App 4-Recyclables'!K131+'App 4-Recyclables'!O131</f>
        <v>5304.29</v>
      </c>
      <c r="H132" s="80">
        <f>'App 4-Recyclables'!H131+'App 4-Recyclables'!L131+'App 4-Recyclables'!P131</f>
        <v>469.19</v>
      </c>
      <c r="I132" s="80">
        <f>'App 5-Organics'!F131+'App 5-Organics'!J131+'App 5-Organics'!N131</f>
        <v>3753</v>
      </c>
      <c r="J132" s="80">
        <f>'App 5-Organics'!G131+'App 5-Organics'!K131+'App 5-Organics'!O131</f>
        <v>3753</v>
      </c>
      <c r="K132" s="80">
        <f>'App 5-Organics'!H131+'App 5-Organics'!L131+'App 5-Organics'!P131</f>
        <v>0</v>
      </c>
      <c r="L132" s="212">
        <f>'App 6-Residual Waste'!F131+'App 6-Residual Waste'!P131+'App 6-Residual Waste'!W131</f>
        <v>12875.61</v>
      </c>
      <c r="M132" s="212">
        <f>'App 6-Residual Waste'!G131+'App 6-Residual Waste'!Q131+'App 6-Residual Waste'!X131</f>
        <v>180.19000000000005</v>
      </c>
      <c r="N132" s="212">
        <f>'App 6-Residual Waste'!H131+'App 6-Residual Waste'!R131+'App 6-Residual Waste'!Y131</f>
        <v>12695.42</v>
      </c>
      <c r="O132" s="211"/>
      <c r="P132" s="212">
        <f t="shared" si="12"/>
        <v>22402.09</v>
      </c>
      <c r="Q132" s="212">
        <f t="shared" si="13"/>
        <v>9237.4800000000014</v>
      </c>
      <c r="R132" s="212">
        <f t="shared" si="14"/>
        <v>13164.61</v>
      </c>
      <c r="S132" s="213">
        <f t="shared" si="15"/>
        <v>0.41234902636316528</v>
      </c>
      <c r="U132" s="406">
        <f>(P132*1000)/'App 1-Services'!G131/52</f>
        <v>7.196949934462463</v>
      </c>
      <c r="V132" s="406">
        <f>(P132*1000)/'App 1-Services'!H131/52</f>
        <v>17.402925593897116</v>
      </c>
    </row>
    <row r="133" spans="1:35" ht="15.75" x14ac:dyDescent="0.25">
      <c r="A133" s="376">
        <v>18710</v>
      </c>
      <c r="B133" s="376" t="s">
        <v>260</v>
      </c>
      <c r="C133" s="376" t="s">
        <v>704</v>
      </c>
      <c r="D133" s="404" t="s">
        <v>2</v>
      </c>
      <c r="E133" s="79"/>
      <c r="F133" s="80">
        <f>'App 4-Recyclables'!F132+'App 4-Recyclables'!J132+'App 4-Recyclables'!N132</f>
        <v>2823.57</v>
      </c>
      <c r="G133" s="80">
        <f>'App 4-Recyclables'!G132+'App 4-Recyclables'!K132+'App 4-Recyclables'!O132</f>
        <v>2786.38</v>
      </c>
      <c r="H133" s="80">
        <f>'App 4-Recyclables'!H132+'App 4-Recyclables'!L132+'App 4-Recyclables'!P132</f>
        <v>37.19</v>
      </c>
      <c r="I133" s="80">
        <f>'App 5-Organics'!F132+'App 5-Organics'!J132+'App 5-Organics'!N132</f>
        <v>2315</v>
      </c>
      <c r="J133" s="80">
        <f>'App 5-Organics'!G132+'App 5-Organics'!K132+'App 5-Organics'!O132</f>
        <v>1270</v>
      </c>
      <c r="K133" s="80">
        <f>'App 5-Organics'!H132+'App 5-Organics'!L132+'App 5-Organics'!P132</f>
        <v>1045</v>
      </c>
      <c r="L133" s="212">
        <f>'App 6-Residual Waste'!F132+'App 6-Residual Waste'!P132+'App 6-Residual Waste'!W132</f>
        <v>8478.9199999999983</v>
      </c>
      <c r="M133" s="212">
        <f>'App 6-Residual Waste'!G132+'App 6-Residual Waste'!Q132+'App 6-Residual Waste'!X132</f>
        <v>11.23</v>
      </c>
      <c r="N133" s="212">
        <f>'App 6-Residual Waste'!H132+'App 6-Residual Waste'!R132+'App 6-Residual Waste'!Y132</f>
        <v>8467.6899999999987</v>
      </c>
      <c r="O133" s="211"/>
      <c r="P133" s="212">
        <f t="shared" si="12"/>
        <v>13617.489999999998</v>
      </c>
      <c r="Q133" s="212">
        <f t="shared" si="13"/>
        <v>4067.61</v>
      </c>
      <c r="R133" s="212">
        <f t="shared" si="14"/>
        <v>9549.8799999999992</v>
      </c>
      <c r="S133" s="213">
        <f t="shared" si="15"/>
        <v>0.29870482739476956</v>
      </c>
      <c r="U133" s="406">
        <f>(P133*1000)/'App 1-Services'!G132/52</f>
        <v>15.523106561488303</v>
      </c>
      <c r="V133" s="406">
        <f>(P133*1000)/'App 1-Services'!H132/52</f>
        <v>53.531236241273028</v>
      </c>
    </row>
    <row r="134" spans="1:35" s="22" customFormat="1" ht="15.75" x14ac:dyDescent="0.25">
      <c r="A134" s="614" t="s">
        <v>72</v>
      </c>
      <c r="B134" s="614"/>
      <c r="C134" s="614"/>
      <c r="D134" s="82"/>
      <c r="E134" s="83"/>
      <c r="F134" s="84"/>
      <c r="G134" s="84"/>
      <c r="H134" s="84"/>
      <c r="I134" s="84"/>
      <c r="J134" s="84"/>
      <c r="K134" s="84"/>
      <c r="L134" s="84"/>
      <c r="M134" s="84"/>
      <c r="N134" s="84"/>
      <c r="O134" s="75"/>
      <c r="P134" s="101"/>
      <c r="Q134" s="78"/>
      <c r="R134" s="78"/>
      <c r="S134" s="78"/>
    </row>
    <row r="135" spans="1:35" s="22" customFormat="1" ht="15" customHeight="1" x14ac:dyDescent="0.25">
      <c r="A135" s="615" t="s">
        <v>17</v>
      </c>
      <c r="B135" s="616"/>
      <c r="C135" s="617"/>
      <c r="D135" s="82"/>
      <c r="E135" s="83"/>
      <c r="F135" s="85">
        <f t="shared" ref="F135:N135" si="16">SUM(F6:F133)</f>
        <v>804189.07999999984</v>
      </c>
      <c r="G135" s="85">
        <f t="shared" si="16"/>
        <v>738647.92000000027</v>
      </c>
      <c r="H135" s="85">
        <f t="shared" si="16"/>
        <v>65541.16</v>
      </c>
      <c r="I135" s="85">
        <f t="shared" si="16"/>
        <v>697702.01</v>
      </c>
      <c r="J135" s="85">
        <f t="shared" si="16"/>
        <v>671051.48</v>
      </c>
      <c r="K135" s="85">
        <f t="shared" si="16"/>
        <v>26650.529999999995</v>
      </c>
      <c r="L135" s="85">
        <f t="shared" si="16"/>
        <v>2122311.4200000004</v>
      </c>
      <c r="M135" s="85">
        <f t="shared" si="16"/>
        <v>305599.61999999982</v>
      </c>
      <c r="N135" s="85">
        <f t="shared" si="16"/>
        <v>1816712.0600000003</v>
      </c>
      <c r="O135" s="75"/>
      <c r="P135" s="85">
        <f>SUM(P6:P134)</f>
        <v>3624202.5099999988</v>
      </c>
      <c r="Q135" s="85">
        <f>SUM(Q6:Q133)</f>
        <v>1715299.0199999993</v>
      </c>
      <c r="R135" s="85">
        <f>SUM(R6:R133)</f>
        <v>1908903.7500000002</v>
      </c>
      <c r="S135" s="86">
        <f>Q135/P135</f>
        <v>0.47329005905908933</v>
      </c>
      <c r="U135" s="407">
        <f>(P135*1000)/'App 1-Services'!G134/52</f>
        <v>9.0211811421650729</v>
      </c>
      <c r="V135" s="407">
        <f>(P135*1000)/'App 1-Services'!H134/52</f>
        <v>23.258341544960157</v>
      </c>
      <c r="AI135" s="437">
        <f>'App 3-Recycling Rate'!U149</f>
        <v>0</v>
      </c>
    </row>
    <row r="136" spans="1:35" s="22" customFormat="1" ht="11.25" x14ac:dyDescent="0.2">
      <c r="B136" s="22" t="s">
        <v>292</v>
      </c>
      <c r="D136" s="82"/>
      <c r="E136" s="83"/>
      <c r="F136" s="246"/>
      <c r="G136" s="237"/>
      <c r="H136" s="237"/>
      <c r="I136" s="247"/>
      <c r="J136" s="237"/>
      <c r="K136" s="237"/>
      <c r="L136" s="237"/>
      <c r="M136" s="237"/>
      <c r="N136" s="237"/>
      <c r="O136" s="237"/>
      <c r="P136" s="246"/>
      <c r="Q136" s="237"/>
      <c r="R136" s="246"/>
      <c r="S136" s="237"/>
    </row>
    <row r="137" spans="1:35" s="22" customFormat="1" ht="15" customHeight="1" x14ac:dyDescent="0.2">
      <c r="A137" s="613" t="s">
        <v>18</v>
      </c>
      <c r="B137" s="613"/>
      <c r="C137" s="613"/>
      <c r="D137" s="82"/>
      <c r="E137" s="88"/>
      <c r="F137" s="89">
        <f t="shared" ref="F137:N137" si="17">SUMIF($D$6:$D$133,"S",F$6:F$133)</f>
        <v>396880.12</v>
      </c>
      <c r="G137" s="89">
        <f t="shared" si="17"/>
        <v>354434.13</v>
      </c>
      <c r="H137" s="89">
        <f t="shared" si="17"/>
        <v>42445.990000000005</v>
      </c>
      <c r="I137" s="89">
        <f t="shared" si="17"/>
        <v>308020.93999999994</v>
      </c>
      <c r="J137" s="89">
        <f t="shared" si="17"/>
        <v>301088.71999999997</v>
      </c>
      <c r="K137" s="89">
        <f t="shared" si="17"/>
        <v>6932.22</v>
      </c>
      <c r="L137" s="89">
        <f t="shared" si="17"/>
        <v>1128458.1600000001</v>
      </c>
      <c r="M137" s="89">
        <f t="shared" si="17"/>
        <v>253107.75</v>
      </c>
      <c r="N137" s="89">
        <f t="shared" si="17"/>
        <v>875350.41</v>
      </c>
      <c r="O137" s="90"/>
      <c r="P137" s="89">
        <f>SUMIF($D$6:$D$133,"S",P$6:P$133)</f>
        <v>1833359.2200000002</v>
      </c>
      <c r="Q137" s="89">
        <f>SUMIF($D$6:$D$133,"S",Q$6:Q$133)</f>
        <v>908630.6</v>
      </c>
      <c r="R137" s="89">
        <f>SUMIF($D$6:$D$133,"S",R$6:R$133)</f>
        <v>924728.61999999976</v>
      </c>
      <c r="S137" s="90">
        <f>Q137/P137</f>
        <v>0.49560969290022711</v>
      </c>
      <c r="U137" s="407">
        <f>(P137*1000)/'App 1-Services'!G175/52</f>
        <v>7.8795454844352104</v>
      </c>
      <c r="V137" s="407">
        <f>(P137*1000)/'App 1-Services'!H175/52</f>
        <v>21.882988411378587</v>
      </c>
      <c r="W137" s="586" t="s">
        <v>18</v>
      </c>
      <c r="X137" s="586"/>
      <c r="Y137" s="586"/>
    </row>
    <row r="138" spans="1:35" s="22" customFormat="1" ht="15" customHeight="1" x14ac:dyDescent="0.2">
      <c r="A138" s="613" t="s">
        <v>19</v>
      </c>
      <c r="B138" s="613"/>
      <c r="C138" s="613"/>
      <c r="D138" s="82"/>
      <c r="E138" s="88"/>
      <c r="F138" s="89">
        <f t="shared" ref="F138:N138" si="18">SUMIF($D$6:$D$133,"E",F$6:F$133)</f>
        <v>171323.69</v>
      </c>
      <c r="G138" s="89">
        <f t="shared" si="18"/>
        <v>162669.43</v>
      </c>
      <c r="H138" s="89">
        <f t="shared" si="18"/>
        <v>8654.26</v>
      </c>
      <c r="I138" s="89">
        <f t="shared" si="18"/>
        <v>160361.87</v>
      </c>
      <c r="J138" s="89">
        <f t="shared" si="18"/>
        <v>155321.43</v>
      </c>
      <c r="K138" s="89">
        <f t="shared" si="18"/>
        <v>5040.4400000000005</v>
      </c>
      <c r="L138" s="89">
        <f t="shared" si="18"/>
        <v>457466.46000000008</v>
      </c>
      <c r="M138" s="89">
        <f t="shared" si="18"/>
        <v>30649.950000000004</v>
      </c>
      <c r="N138" s="89">
        <f t="shared" si="18"/>
        <v>426816.50999999995</v>
      </c>
      <c r="O138" s="90"/>
      <c r="P138" s="89">
        <f>SUMIF($D$6:$D$133,"E",P$6:P$133)</f>
        <v>789152.02000000014</v>
      </c>
      <c r="Q138" s="89">
        <f>SUMIF($D$6:$D$133,"E",Q$6:Q$133)</f>
        <v>348640.81</v>
      </c>
      <c r="R138" s="89">
        <f>SUMIF($D$6:$D$133,"E",R$6:R$133)</f>
        <v>440511.20999999996</v>
      </c>
      <c r="S138" s="90">
        <f t="shared" ref="S138:S140" si="19">Q138/P138</f>
        <v>0.44179169686469272</v>
      </c>
      <c r="U138" s="407">
        <f>(P138*1000)/'App 1-Services'!G197/52</f>
        <v>10.611756550966209</v>
      </c>
      <c r="V138" s="407">
        <f>(P138*1000)/'App 1-Services'!H197/52</f>
        <v>26.505149405163031</v>
      </c>
      <c r="W138" s="586" t="s">
        <v>19</v>
      </c>
      <c r="X138" s="586"/>
      <c r="Y138" s="586"/>
    </row>
    <row r="139" spans="1:35" s="22" customFormat="1" ht="15" customHeight="1" x14ac:dyDescent="0.2">
      <c r="A139" s="613" t="s">
        <v>20</v>
      </c>
      <c r="B139" s="613"/>
      <c r="C139" s="613"/>
      <c r="D139" s="82"/>
      <c r="E139" s="88"/>
      <c r="F139" s="89">
        <f t="shared" ref="F139:N139" si="20">SUMIF($D$6:$D$133,"R",F$6:F$133)</f>
        <v>126267.17000000001</v>
      </c>
      <c r="G139" s="89">
        <f t="shared" si="20"/>
        <v>120120.63999999998</v>
      </c>
      <c r="H139" s="89">
        <f t="shared" si="20"/>
        <v>6146.5300000000007</v>
      </c>
      <c r="I139" s="89">
        <f t="shared" si="20"/>
        <v>125668.46000000004</v>
      </c>
      <c r="J139" s="89">
        <f t="shared" si="20"/>
        <v>122982.06000000001</v>
      </c>
      <c r="K139" s="89">
        <f t="shared" si="20"/>
        <v>2686.4</v>
      </c>
      <c r="L139" s="89">
        <f t="shared" si="20"/>
        <v>233336.81999999998</v>
      </c>
      <c r="M139" s="89">
        <f t="shared" si="20"/>
        <v>16630.939999999999</v>
      </c>
      <c r="N139" s="89">
        <f t="shared" si="20"/>
        <v>216705.88</v>
      </c>
      <c r="O139" s="90"/>
      <c r="P139" s="89">
        <f>SUMIF($D$6:$D$133,"R",P$6:P$133)</f>
        <v>485272.45</v>
      </c>
      <c r="Q139" s="89">
        <f>SUMIF($D$6:$D$133,"R",Q$6:Q$133)</f>
        <v>259733.64</v>
      </c>
      <c r="R139" s="89">
        <f>SUMIF($D$6:$D$133,"R",R$6:R$133)</f>
        <v>225538.80999999997</v>
      </c>
      <c r="S139" s="90">
        <f>Q139/P139</f>
        <v>0.53523261005235312</v>
      </c>
      <c r="U139" s="407">
        <f>(P139*1000)/'App 1-Services'!G226/52</f>
        <v>11.654408229377539</v>
      </c>
      <c r="V139" s="407">
        <f>(P139*1000)/'App 1-Services'!H226/52</f>
        <v>26.108698084966498</v>
      </c>
      <c r="W139" s="586" t="s">
        <v>20</v>
      </c>
      <c r="X139" s="586"/>
      <c r="Y139" s="586"/>
    </row>
    <row r="140" spans="1:35" s="22" customFormat="1" ht="15" customHeight="1" x14ac:dyDescent="0.2">
      <c r="A140" s="613" t="s">
        <v>21</v>
      </c>
      <c r="B140" s="613"/>
      <c r="C140" s="613"/>
      <c r="D140" s="82"/>
      <c r="E140" s="88"/>
      <c r="F140" s="89">
        <f t="shared" ref="F140:N140" si="21">SUMIF($D$6:$D$133,"N",F$6:F$133)</f>
        <v>109718.09999999999</v>
      </c>
      <c r="G140" s="89">
        <f t="shared" si="21"/>
        <v>101423.72000000003</v>
      </c>
      <c r="H140" s="89">
        <f t="shared" si="21"/>
        <v>8294.3800000000028</v>
      </c>
      <c r="I140" s="89">
        <f t="shared" si="21"/>
        <v>103650.73999999999</v>
      </c>
      <c r="J140" s="89">
        <f t="shared" si="21"/>
        <v>91659.26999999999</v>
      </c>
      <c r="K140" s="89">
        <f t="shared" si="21"/>
        <v>11991.469999999998</v>
      </c>
      <c r="L140" s="89">
        <f t="shared" si="21"/>
        <v>303049.97999999992</v>
      </c>
      <c r="M140" s="89">
        <f t="shared" si="21"/>
        <v>5210.9799999999996</v>
      </c>
      <c r="N140" s="89">
        <f t="shared" si="21"/>
        <v>297839.25999999989</v>
      </c>
      <c r="O140" s="90"/>
      <c r="P140" s="89">
        <f>SUMIF($D$6:$D$133,"N",P$6:P$133)</f>
        <v>516418.82</v>
      </c>
      <c r="Q140" s="89">
        <f>SUMIF($D$6:$D$133,"N",Q$6:Q$133)</f>
        <v>198293.96999999997</v>
      </c>
      <c r="R140" s="89">
        <f>SUMIF($D$6:$D$133,"N",R$6:R$133)</f>
        <v>318125.11</v>
      </c>
      <c r="S140" s="90">
        <f t="shared" si="19"/>
        <v>0.38397897659887759</v>
      </c>
      <c r="U140" s="407">
        <f>(P140*1000)/'App 1-Services'!G303/52</f>
        <v>9.7316136115815102</v>
      </c>
      <c r="V140" s="407">
        <f>(P140*1000)/'App 1-Services'!H303/52</f>
        <v>21.8050006451748</v>
      </c>
      <c r="W140" s="586" t="s">
        <v>21</v>
      </c>
      <c r="X140" s="586"/>
      <c r="Y140" s="586"/>
    </row>
    <row r="141" spans="1:35" s="22" customFormat="1" ht="15" customHeight="1" x14ac:dyDescent="0.2">
      <c r="A141" s="337"/>
      <c r="B141" s="337"/>
      <c r="C141" s="337"/>
      <c r="D141" s="82"/>
      <c r="E141" s="88"/>
      <c r="F141" s="338"/>
      <c r="G141" s="338"/>
      <c r="H141" s="338"/>
      <c r="I141" s="338"/>
      <c r="J141" s="338"/>
      <c r="K141" s="338"/>
      <c r="L141" s="338"/>
      <c r="M141" s="338"/>
      <c r="N141" s="338"/>
      <c r="O141" s="339"/>
      <c r="P141" s="338"/>
      <c r="Q141" s="338"/>
      <c r="R141" s="338"/>
      <c r="S141" s="339"/>
    </row>
    <row r="142" spans="1:35" s="22" customFormat="1" ht="15" customHeight="1" x14ac:dyDescent="0.25">
      <c r="A142" s="630" t="s">
        <v>17</v>
      </c>
      <c r="B142" s="631"/>
      <c r="C142" s="632"/>
      <c r="D142" s="448"/>
      <c r="E142" s="449"/>
      <c r="F142" s="450">
        <v>810398.62600000005</v>
      </c>
      <c r="G142" s="450">
        <v>743021.56599999999</v>
      </c>
      <c r="H142" s="450">
        <v>67377.060000000027</v>
      </c>
      <c r="I142" s="450">
        <v>745642.34000000008</v>
      </c>
      <c r="J142" s="450">
        <v>730405.22</v>
      </c>
      <c r="K142" s="450">
        <v>15237.119999999999</v>
      </c>
      <c r="L142" s="450">
        <v>2151078.5799999996</v>
      </c>
      <c r="M142" s="450">
        <v>295534.08999999997</v>
      </c>
      <c r="N142" s="450">
        <v>1855544.49</v>
      </c>
      <c r="O142" s="544"/>
      <c r="P142" s="450">
        <v>3707119.5460000006</v>
      </c>
      <c r="Q142" s="450">
        <v>1768960.8759999995</v>
      </c>
      <c r="R142" s="450">
        <v>1938158.6699999997</v>
      </c>
      <c r="S142" s="223">
        <v>0.47717934478501417</v>
      </c>
    </row>
    <row r="143" spans="1:35" s="22" customFormat="1" ht="15" customHeight="1" x14ac:dyDescent="0.2">
      <c r="A143" s="452"/>
      <c r="B143" s="452" t="s">
        <v>110</v>
      </c>
      <c r="C143" s="452"/>
      <c r="D143" s="448"/>
      <c r="E143" s="449"/>
      <c r="F143" s="454"/>
      <c r="G143" s="545"/>
      <c r="H143" s="545"/>
      <c r="I143" s="546"/>
      <c r="J143" s="545"/>
      <c r="K143" s="545"/>
      <c r="L143" s="545"/>
      <c r="M143" s="545"/>
      <c r="N143" s="545"/>
      <c r="O143" s="545"/>
      <c r="P143" s="454"/>
      <c r="Q143" s="545"/>
      <c r="R143" s="454"/>
      <c r="S143" s="545"/>
    </row>
    <row r="144" spans="1:35" s="22" customFormat="1" ht="15" customHeight="1" x14ac:dyDescent="0.2">
      <c r="A144" s="633" t="s">
        <v>18</v>
      </c>
      <c r="B144" s="633"/>
      <c r="C144" s="633"/>
      <c r="D144" s="448"/>
      <c r="E144" s="457"/>
      <c r="F144" s="226">
        <v>390401.29599999997</v>
      </c>
      <c r="G144" s="226">
        <v>355948.826</v>
      </c>
      <c r="H144" s="226">
        <v>34452.470000000008</v>
      </c>
      <c r="I144" s="226">
        <v>340871.73000000004</v>
      </c>
      <c r="J144" s="226">
        <v>334510.23000000004</v>
      </c>
      <c r="K144" s="226">
        <v>6361.5</v>
      </c>
      <c r="L144" s="226">
        <v>1131346.7200000002</v>
      </c>
      <c r="M144" s="226">
        <v>249801.56</v>
      </c>
      <c r="N144" s="226">
        <v>881545.15999999992</v>
      </c>
      <c r="O144" s="227"/>
      <c r="P144" s="226">
        <v>1862619.746</v>
      </c>
      <c r="Q144" s="226">
        <v>940260.61600000004</v>
      </c>
      <c r="R144" s="226">
        <v>922359.13</v>
      </c>
      <c r="S144" s="227">
        <v>0.50480545909556784</v>
      </c>
    </row>
    <row r="145" spans="1:24" s="22" customFormat="1" ht="15" customHeight="1" x14ac:dyDescent="0.2">
      <c r="A145" s="633" t="s">
        <v>19</v>
      </c>
      <c r="B145" s="633"/>
      <c r="C145" s="633"/>
      <c r="D145" s="448"/>
      <c r="E145" s="457"/>
      <c r="F145" s="226">
        <v>177210.03</v>
      </c>
      <c r="G145" s="226">
        <v>162778.99000000002</v>
      </c>
      <c r="H145" s="226">
        <v>14431.04</v>
      </c>
      <c r="I145" s="226">
        <v>170558.91999999998</v>
      </c>
      <c r="J145" s="226">
        <v>169458.96999999997</v>
      </c>
      <c r="K145" s="226">
        <v>1099.9499999999998</v>
      </c>
      <c r="L145" s="226">
        <v>461253.51</v>
      </c>
      <c r="M145" s="226">
        <v>26994.469999999998</v>
      </c>
      <c r="N145" s="226">
        <v>434259.04</v>
      </c>
      <c r="O145" s="227"/>
      <c r="P145" s="226">
        <v>809022.46000000008</v>
      </c>
      <c r="Q145" s="226">
        <v>359232.43</v>
      </c>
      <c r="R145" s="226">
        <v>449790.03</v>
      </c>
      <c r="S145" s="227">
        <v>0.44403270336895218</v>
      </c>
    </row>
    <row r="146" spans="1:24" s="22" customFormat="1" ht="15" customHeight="1" x14ac:dyDescent="0.2">
      <c r="A146" s="633" t="s">
        <v>20</v>
      </c>
      <c r="B146" s="633"/>
      <c r="C146" s="633"/>
      <c r="D146" s="448"/>
      <c r="E146" s="457"/>
      <c r="F146" s="226">
        <v>123305.58</v>
      </c>
      <c r="G146" s="226">
        <v>117945.45999999998</v>
      </c>
      <c r="H146" s="226">
        <v>5360.12</v>
      </c>
      <c r="I146" s="226">
        <v>129067.54999999999</v>
      </c>
      <c r="J146" s="226">
        <v>127242.59</v>
      </c>
      <c r="K146" s="226">
        <v>1824.96</v>
      </c>
      <c r="L146" s="226">
        <v>223405.58000000002</v>
      </c>
      <c r="M146" s="226">
        <v>15391.97</v>
      </c>
      <c r="N146" s="226">
        <v>208013.61000000002</v>
      </c>
      <c r="O146" s="227"/>
      <c r="P146" s="226">
        <v>475778.71000000008</v>
      </c>
      <c r="Q146" s="226">
        <v>260580.02</v>
      </c>
      <c r="R146" s="226">
        <v>215198.69</v>
      </c>
      <c r="S146" s="227">
        <v>0.54769163588677594</v>
      </c>
    </row>
    <row r="147" spans="1:24" s="22" customFormat="1" ht="15" customHeight="1" x14ac:dyDescent="0.2">
      <c r="A147" s="633" t="s">
        <v>21</v>
      </c>
      <c r="B147" s="633"/>
      <c r="C147" s="633"/>
      <c r="D147" s="448"/>
      <c r="E147" s="457"/>
      <c r="F147" s="226">
        <v>119481.72</v>
      </c>
      <c r="G147" s="226">
        <v>106348.29000000002</v>
      </c>
      <c r="H147" s="226">
        <v>13133.43</v>
      </c>
      <c r="I147" s="226">
        <v>105144.14000000001</v>
      </c>
      <c r="J147" s="226">
        <v>99193.430000000008</v>
      </c>
      <c r="K147" s="226">
        <v>5950.71</v>
      </c>
      <c r="L147" s="226">
        <v>335072.77000000008</v>
      </c>
      <c r="M147" s="226">
        <v>3346.0899999999992</v>
      </c>
      <c r="N147" s="226">
        <v>331726.67999999993</v>
      </c>
      <c r="O147" s="227"/>
      <c r="P147" s="226">
        <v>559698.62999999989</v>
      </c>
      <c r="Q147" s="226">
        <v>208887.81000000003</v>
      </c>
      <c r="R147" s="226">
        <v>350810.81999999995</v>
      </c>
      <c r="S147" s="227">
        <v>0.37321479596975266</v>
      </c>
    </row>
    <row r="148" spans="1:24" s="53" customFormat="1" ht="11.25" x14ac:dyDescent="0.2">
      <c r="D148" s="82"/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3"/>
    </row>
    <row r="149" spans="1:24" s="53" customFormat="1" ht="15.75" x14ac:dyDescent="0.25">
      <c r="A149" s="597" t="s">
        <v>17</v>
      </c>
      <c r="B149" s="598"/>
      <c r="C149" s="599"/>
      <c r="D149" s="340"/>
      <c r="E149" s="341"/>
      <c r="F149" s="342">
        <v>810826.45399999979</v>
      </c>
      <c r="G149" s="342">
        <v>756589.84400000004</v>
      </c>
      <c r="H149" s="342">
        <v>54236.3</v>
      </c>
      <c r="I149" s="342">
        <v>753410.64599999995</v>
      </c>
      <c r="J149" s="342">
        <v>725978.2758050001</v>
      </c>
      <c r="K149" s="342">
        <v>27432.34019499999</v>
      </c>
      <c r="L149" s="342">
        <v>2127203.2800000003</v>
      </c>
      <c r="M149" s="342">
        <v>290906.63299999991</v>
      </c>
      <c r="N149" s="342">
        <v>1836296.6470000006</v>
      </c>
      <c r="O149" s="358"/>
      <c r="P149" s="342">
        <v>3691440.3800000004</v>
      </c>
      <c r="Q149" s="342">
        <v>1773474.7528050002</v>
      </c>
      <c r="R149" s="342">
        <v>1917965.2871949996</v>
      </c>
      <c r="S149" s="359">
        <v>0.48042893023914962</v>
      </c>
      <c r="X149" s="438"/>
    </row>
    <row r="150" spans="1:24" s="53" customFormat="1" ht="11.25" x14ac:dyDescent="0.2">
      <c r="A150" s="344"/>
      <c r="B150" s="344" t="s">
        <v>87</v>
      </c>
      <c r="C150" s="344"/>
      <c r="D150" s="340"/>
      <c r="E150" s="360"/>
      <c r="F150" s="360"/>
      <c r="G150" s="360"/>
      <c r="H150" s="360"/>
      <c r="I150" s="360"/>
      <c r="J150" s="360"/>
      <c r="K150" s="360"/>
      <c r="L150" s="360"/>
      <c r="M150" s="360"/>
      <c r="N150" s="360"/>
      <c r="O150" s="360"/>
      <c r="P150" s="360"/>
      <c r="Q150" s="360"/>
      <c r="R150" s="360"/>
      <c r="S150" s="360"/>
    </row>
    <row r="151" spans="1:24" s="53" customFormat="1" ht="15.75" x14ac:dyDescent="0.25">
      <c r="A151" s="600" t="s">
        <v>18</v>
      </c>
      <c r="B151" s="600"/>
      <c r="C151" s="600"/>
      <c r="D151" s="340"/>
      <c r="E151" s="349"/>
      <c r="F151" s="347">
        <v>384319.01399999997</v>
      </c>
      <c r="G151" s="347">
        <v>355570.984</v>
      </c>
      <c r="H151" s="347">
        <v>28748.029999999995</v>
      </c>
      <c r="I151" s="347">
        <v>326139.74999999994</v>
      </c>
      <c r="J151" s="347">
        <v>310678.23340000003</v>
      </c>
      <c r="K151" s="347">
        <v>15461.516599999999</v>
      </c>
      <c r="L151" s="347">
        <v>1092206.9299999997</v>
      </c>
      <c r="M151" s="347">
        <v>239205.09300000002</v>
      </c>
      <c r="N151" s="347">
        <v>853001.83699999994</v>
      </c>
      <c r="O151" s="358"/>
      <c r="P151" s="347">
        <v>1802665.6939999999</v>
      </c>
      <c r="Q151" s="347">
        <v>905454.31039999996</v>
      </c>
      <c r="R151" s="347">
        <v>897211.38359999983</v>
      </c>
      <c r="S151" s="361">
        <v>0.50228631598954698</v>
      </c>
    </row>
    <row r="152" spans="1:24" ht="15.75" x14ac:dyDescent="0.25">
      <c r="A152" s="600" t="s">
        <v>19</v>
      </c>
      <c r="B152" s="600"/>
      <c r="C152" s="600"/>
      <c r="D152" s="340"/>
      <c r="E152" s="349"/>
      <c r="F152" s="347">
        <v>170038.95</v>
      </c>
      <c r="G152" s="347">
        <v>161953.36000000002</v>
      </c>
      <c r="H152" s="347">
        <v>8085.59</v>
      </c>
      <c r="I152" s="347">
        <v>187109.53</v>
      </c>
      <c r="J152" s="347">
        <v>183328.3904</v>
      </c>
      <c r="K152" s="347">
        <v>3781.1095999999998</v>
      </c>
      <c r="L152" s="347">
        <v>459292.18999999994</v>
      </c>
      <c r="M152" s="347">
        <v>22425.309999999998</v>
      </c>
      <c r="N152" s="347">
        <v>436866.88</v>
      </c>
      <c r="O152" s="358"/>
      <c r="P152" s="347">
        <v>816440.67</v>
      </c>
      <c r="Q152" s="347">
        <v>367707.06040000002</v>
      </c>
      <c r="R152" s="347">
        <v>448733.57959999994</v>
      </c>
      <c r="S152" s="361">
        <v>0.4503781767755396</v>
      </c>
    </row>
    <row r="153" spans="1:24" ht="15.75" x14ac:dyDescent="0.25">
      <c r="A153" s="600" t="s">
        <v>20</v>
      </c>
      <c r="B153" s="600"/>
      <c r="C153" s="600"/>
      <c r="D153" s="340"/>
      <c r="E153" s="349"/>
      <c r="F153" s="347">
        <v>123318.63000000002</v>
      </c>
      <c r="G153" s="347">
        <v>116752.89</v>
      </c>
      <c r="H153" s="347">
        <v>6565.73</v>
      </c>
      <c r="I153" s="347">
        <v>122302.56000000001</v>
      </c>
      <c r="J153" s="347">
        <v>118111.38041199998</v>
      </c>
      <c r="K153" s="347">
        <v>4191.179588</v>
      </c>
      <c r="L153" s="347">
        <v>218838.86</v>
      </c>
      <c r="M153" s="347">
        <v>23012.85</v>
      </c>
      <c r="N153" s="347">
        <v>195826.01</v>
      </c>
      <c r="O153" s="358"/>
      <c r="P153" s="347">
        <v>464460.05</v>
      </c>
      <c r="Q153" s="347">
        <v>257877.12041199993</v>
      </c>
      <c r="R153" s="347">
        <v>206582.91958800002</v>
      </c>
      <c r="S153" s="361">
        <v>0.55521916343935274</v>
      </c>
    </row>
    <row r="154" spans="1:24" ht="15.75" x14ac:dyDescent="0.25">
      <c r="A154" s="600" t="s">
        <v>21</v>
      </c>
      <c r="B154" s="600"/>
      <c r="C154" s="600"/>
      <c r="D154" s="340"/>
      <c r="E154" s="349"/>
      <c r="F154" s="347">
        <v>133149.85999999999</v>
      </c>
      <c r="G154" s="347">
        <v>122312.61</v>
      </c>
      <c r="H154" s="347">
        <v>10836.949999999997</v>
      </c>
      <c r="I154" s="347">
        <v>117858.806</v>
      </c>
      <c r="J154" s="347">
        <v>113860.27159300001</v>
      </c>
      <c r="K154" s="347">
        <v>3998.5344069999996</v>
      </c>
      <c r="L154" s="347">
        <v>356865.30000000005</v>
      </c>
      <c r="M154" s="347">
        <v>6263.38</v>
      </c>
      <c r="N154" s="347">
        <v>350601.92000000004</v>
      </c>
      <c r="O154" s="358"/>
      <c r="P154" s="347">
        <v>607873.96600000001</v>
      </c>
      <c r="Q154" s="347">
        <v>242436.261593</v>
      </c>
      <c r="R154" s="347">
        <v>365437.40440699999</v>
      </c>
      <c r="S154" s="361">
        <v>0.3988265251566967</v>
      </c>
    </row>
    <row r="155" spans="1:24" x14ac:dyDescent="0.2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</row>
    <row r="156" spans="1:24" s="53" customFormat="1" ht="15.75" x14ac:dyDescent="0.25">
      <c r="A156" s="618" t="s">
        <v>17</v>
      </c>
      <c r="B156" s="619"/>
      <c r="C156" s="620"/>
      <c r="D156" s="82"/>
      <c r="E156" s="228"/>
      <c r="F156" s="229">
        <v>783766.02854000009</v>
      </c>
      <c r="G156" s="229">
        <v>732227.93373999989</v>
      </c>
      <c r="H156" s="229">
        <v>51537.83479999999</v>
      </c>
      <c r="I156" s="229">
        <v>668256.89999999991</v>
      </c>
      <c r="J156" s="229">
        <v>643114.76829999988</v>
      </c>
      <c r="K156" s="229">
        <v>25142.561700000002</v>
      </c>
      <c r="L156" s="229">
        <v>2071313.8699999996</v>
      </c>
      <c r="M156" s="229">
        <v>272947.21999999997</v>
      </c>
      <c r="N156" s="229">
        <v>1798366.6399999997</v>
      </c>
      <c r="O156" s="230"/>
      <c r="P156" s="229">
        <v>3523336.7985399985</v>
      </c>
      <c r="Q156" s="229">
        <v>1648289.9220400001</v>
      </c>
      <c r="R156" s="229">
        <v>1875047.0364999999</v>
      </c>
      <c r="S156" s="231">
        <v>0.46782070982343188</v>
      </c>
    </row>
    <row r="157" spans="1:24" s="53" customFormat="1" ht="11.25" x14ac:dyDescent="0.2">
      <c r="A157" s="232"/>
      <c r="B157" s="232" t="s">
        <v>86</v>
      </c>
      <c r="C157" s="232"/>
      <c r="D157" s="82"/>
    </row>
    <row r="158" spans="1:24" s="53" customFormat="1" ht="15.75" x14ac:dyDescent="0.25">
      <c r="A158" s="621" t="s">
        <v>18</v>
      </c>
      <c r="B158" s="621"/>
      <c r="C158" s="621"/>
      <c r="D158" s="82"/>
      <c r="E158" s="233"/>
      <c r="F158" s="234">
        <v>388848.38492599997</v>
      </c>
      <c r="G158" s="234">
        <v>361077.60492600006</v>
      </c>
      <c r="H158" s="234">
        <v>27770.78</v>
      </c>
      <c r="I158" s="234">
        <v>302376.85999999993</v>
      </c>
      <c r="J158" s="234">
        <v>288141.67549999995</v>
      </c>
      <c r="K158" s="234">
        <v>14235.404500000002</v>
      </c>
      <c r="L158" s="234">
        <v>1056264.5399999998</v>
      </c>
      <c r="M158" s="234">
        <v>227224.71</v>
      </c>
      <c r="N158" s="234">
        <v>829039.82</v>
      </c>
      <c r="O158" s="230"/>
      <c r="P158" s="234">
        <v>1747489.7849260001</v>
      </c>
      <c r="Q158" s="234">
        <v>876443.99042600009</v>
      </c>
      <c r="R158" s="234">
        <v>871046.00449999992</v>
      </c>
      <c r="S158" s="235">
        <v>0.50154455721932267</v>
      </c>
    </row>
    <row r="159" spans="1:24" ht="15.75" x14ac:dyDescent="0.25">
      <c r="A159" s="621" t="s">
        <v>19</v>
      </c>
      <c r="B159" s="621"/>
      <c r="C159" s="621"/>
      <c r="D159" s="82"/>
      <c r="E159" s="233"/>
      <c r="F159" s="234">
        <v>167150.26034000001</v>
      </c>
      <c r="G159" s="234">
        <v>158553.06034000003</v>
      </c>
      <c r="H159" s="234">
        <v>8597.2000000000007</v>
      </c>
      <c r="I159" s="234">
        <v>154225.84999999998</v>
      </c>
      <c r="J159" s="234">
        <v>153131.26</v>
      </c>
      <c r="K159" s="234">
        <v>1094.6100000000001</v>
      </c>
      <c r="L159" s="234">
        <v>421353.74000000005</v>
      </c>
      <c r="M159" s="234">
        <v>21954.73</v>
      </c>
      <c r="N159" s="234">
        <v>399399.01</v>
      </c>
      <c r="O159" s="230"/>
      <c r="P159" s="234">
        <v>742729.85034</v>
      </c>
      <c r="Q159" s="234">
        <v>333639.05034000002</v>
      </c>
      <c r="R159" s="234">
        <v>409090.81999999995</v>
      </c>
      <c r="S159" s="235">
        <v>0.44920646475602105</v>
      </c>
    </row>
    <row r="160" spans="1:24" ht="15.75" x14ac:dyDescent="0.25">
      <c r="A160" s="621" t="s">
        <v>20</v>
      </c>
      <c r="B160" s="621"/>
      <c r="C160" s="621"/>
      <c r="D160" s="82"/>
      <c r="E160" s="233"/>
      <c r="F160" s="234">
        <v>113441.12880399998</v>
      </c>
      <c r="G160" s="234">
        <v>107682.15880399999</v>
      </c>
      <c r="H160" s="234">
        <v>5758.97</v>
      </c>
      <c r="I160" s="234">
        <v>111325.99</v>
      </c>
      <c r="J160" s="234">
        <v>107619.91280000001</v>
      </c>
      <c r="K160" s="234">
        <v>3706.1372000000001</v>
      </c>
      <c r="L160" s="234">
        <v>225905.72999999998</v>
      </c>
      <c r="M160" s="234">
        <v>19363.61</v>
      </c>
      <c r="N160" s="234">
        <v>206542.12</v>
      </c>
      <c r="O160" s="230"/>
      <c r="P160" s="234">
        <v>450672.84880400001</v>
      </c>
      <c r="Q160" s="234">
        <v>234665.68160400001</v>
      </c>
      <c r="R160" s="234">
        <v>216007.22719999996</v>
      </c>
      <c r="S160" s="235">
        <v>0.52070073053381871</v>
      </c>
    </row>
    <row r="161" spans="1:19" ht="15.75" x14ac:dyDescent="0.25">
      <c r="A161" s="621" t="s">
        <v>21</v>
      </c>
      <c r="B161" s="621"/>
      <c r="C161" s="621"/>
      <c r="D161" s="82"/>
      <c r="E161" s="233"/>
      <c r="F161" s="234">
        <v>114326.25446999999</v>
      </c>
      <c r="G161" s="234">
        <v>104915.10966999999</v>
      </c>
      <c r="H161" s="234">
        <v>9410.8847999999998</v>
      </c>
      <c r="I161" s="234">
        <v>100328.19999999998</v>
      </c>
      <c r="J161" s="234">
        <v>94221.919999999984</v>
      </c>
      <c r="K161" s="234">
        <v>6106.4100000000008</v>
      </c>
      <c r="L161" s="234">
        <v>367789.8600000001</v>
      </c>
      <c r="M161" s="234">
        <v>4404.17</v>
      </c>
      <c r="N161" s="234">
        <v>363385.69000000006</v>
      </c>
      <c r="O161" s="230"/>
      <c r="P161" s="234">
        <v>582444.3144700001</v>
      </c>
      <c r="Q161" s="234">
        <v>203541.19967000006</v>
      </c>
      <c r="R161" s="234">
        <v>378902.98479999998</v>
      </c>
      <c r="S161" s="235">
        <v>0.34946035975166828</v>
      </c>
    </row>
    <row r="162" spans="1:19" x14ac:dyDescent="0.2">
      <c r="A162" s="53"/>
      <c r="B162" s="53"/>
      <c r="C162" s="53"/>
      <c r="D162" s="82"/>
      <c r="E162" s="91"/>
      <c r="F162" s="92"/>
      <c r="G162" s="92"/>
      <c r="H162" s="92"/>
      <c r="I162" s="92"/>
      <c r="J162" s="92"/>
      <c r="K162" s="92"/>
      <c r="L162" s="92"/>
      <c r="M162" s="92"/>
      <c r="N162" s="92"/>
      <c r="O162" s="93"/>
      <c r="P162" s="53"/>
      <c r="Q162" s="53"/>
      <c r="R162" s="53"/>
      <c r="S162" s="53"/>
    </row>
    <row r="163" spans="1:19" ht="15.75" x14ac:dyDescent="0.25">
      <c r="A163" s="622" t="s">
        <v>17</v>
      </c>
      <c r="B163" s="623"/>
      <c r="C163" s="624"/>
      <c r="D163" s="82"/>
      <c r="E163" s="220"/>
      <c r="F163" s="221">
        <v>781932.51</v>
      </c>
      <c r="G163" s="221">
        <v>724099.25</v>
      </c>
      <c r="H163" s="221">
        <v>57833.27</v>
      </c>
      <c r="I163" s="221">
        <v>667415.55000000005</v>
      </c>
      <c r="J163" s="221">
        <v>632189.61</v>
      </c>
      <c r="K163" s="221">
        <v>35225.93</v>
      </c>
      <c r="L163" s="221">
        <v>2023642.96</v>
      </c>
      <c r="M163" s="221">
        <v>259067.64</v>
      </c>
      <c r="N163" s="221">
        <v>1764575.32</v>
      </c>
      <c r="O163" s="222">
        <v>0</v>
      </c>
      <c r="P163" s="221">
        <v>3472992</v>
      </c>
      <c r="Q163" s="221">
        <v>1615356.51</v>
      </c>
      <c r="R163" s="221">
        <v>1857634.52</v>
      </c>
      <c r="S163" s="223">
        <v>0.46510000000000001</v>
      </c>
    </row>
    <row r="164" spans="1:19" x14ac:dyDescent="0.2">
      <c r="A164" s="224"/>
      <c r="B164" s="224" t="s">
        <v>85</v>
      </c>
      <c r="C164" s="224"/>
      <c r="D164" s="82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</row>
    <row r="165" spans="1:19" ht="15.75" x14ac:dyDescent="0.25">
      <c r="A165" s="625" t="s">
        <v>18</v>
      </c>
      <c r="B165" s="625"/>
      <c r="C165" s="625"/>
      <c r="D165" s="82"/>
      <c r="E165" s="225"/>
      <c r="F165" s="226">
        <v>393104.56</v>
      </c>
      <c r="G165" s="226">
        <v>363575.96</v>
      </c>
      <c r="H165" s="226">
        <v>29528.6</v>
      </c>
      <c r="I165" s="226">
        <v>321065.7</v>
      </c>
      <c r="J165" s="226">
        <v>311375.11</v>
      </c>
      <c r="K165" s="226">
        <v>9690.58</v>
      </c>
      <c r="L165" s="226">
        <v>1025007.22</v>
      </c>
      <c r="M165" s="226">
        <v>216885.01</v>
      </c>
      <c r="N165" s="226">
        <v>808122.21</v>
      </c>
      <c r="O165" s="222">
        <v>0</v>
      </c>
      <c r="P165" s="226">
        <v>1739177.48</v>
      </c>
      <c r="Q165" s="226">
        <v>891836.08</v>
      </c>
      <c r="R165" s="226">
        <v>847341.39</v>
      </c>
      <c r="S165" s="227">
        <v>0.51270000000000004</v>
      </c>
    </row>
    <row r="166" spans="1:19" ht="15.75" x14ac:dyDescent="0.25">
      <c r="A166" s="625" t="s">
        <v>19</v>
      </c>
      <c r="B166" s="625"/>
      <c r="C166" s="625"/>
      <c r="D166" s="82"/>
      <c r="E166" s="225"/>
      <c r="F166" s="226">
        <v>161529.84</v>
      </c>
      <c r="G166" s="226">
        <v>152860.59</v>
      </c>
      <c r="H166" s="226">
        <v>8669.25</v>
      </c>
      <c r="I166" s="226">
        <v>137604.97</v>
      </c>
      <c r="J166" s="226">
        <v>132106.82</v>
      </c>
      <c r="K166" s="226">
        <v>5498.14</v>
      </c>
      <c r="L166" s="226">
        <v>435845.71</v>
      </c>
      <c r="M166" s="226">
        <v>20298.78</v>
      </c>
      <c r="N166" s="226">
        <v>415546.93</v>
      </c>
      <c r="O166" s="222">
        <v>0</v>
      </c>
      <c r="P166" s="226">
        <v>734980.52</v>
      </c>
      <c r="Q166" s="226">
        <v>305266.19</v>
      </c>
      <c r="R166" s="226">
        <v>429714.32</v>
      </c>
      <c r="S166" s="227">
        <v>0.4153</v>
      </c>
    </row>
    <row r="167" spans="1:19" ht="15.75" x14ac:dyDescent="0.25">
      <c r="A167" s="625" t="s">
        <v>20</v>
      </c>
      <c r="B167" s="625"/>
      <c r="C167" s="625"/>
      <c r="D167" s="82"/>
      <c r="E167" s="225"/>
      <c r="F167" s="226">
        <v>104664.76</v>
      </c>
      <c r="G167" s="226">
        <v>98441.04</v>
      </c>
      <c r="H167" s="226">
        <v>6223.71</v>
      </c>
      <c r="I167" s="226">
        <v>115584.1</v>
      </c>
      <c r="J167" s="226">
        <v>111889.41</v>
      </c>
      <c r="K167" s="226">
        <v>3694.68</v>
      </c>
      <c r="L167" s="226">
        <v>223425.77</v>
      </c>
      <c r="M167" s="226">
        <v>18348.169999999998</v>
      </c>
      <c r="N167" s="226">
        <v>205077.6</v>
      </c>
      <c r="O167" s="222">
        <v>0</v>
      </c>
      <c r="P167" s="226">
        <v>443674.63</v>
      </c>
      <c r="Q167" s="226">
        <v>228678.63</v>
      </c>
      <c r="R167" s="226">
        <v>214995.99</v>
      </c>
      <c r="S167" s="227">
        <v>0.51539999999999997</v>
      </c>
    </row>
    <row r="168" spans="1:19" ht="15.75" x14ac:dyDescent="0.25">
      <c r="A168" s="625" t="s">
        <v>21</v>
      </c>
      <c r="B168" s="625"/>
      <c r="C168" s="625"/>
      <c r="D168" s="82"/>
      <c r="E168" s="225"/>
      <c r="F168" s="226">
        <v>122633.34</v>
      </c>
      <c r="G168" s="226">
        <v>109221.64</v>
      </c>
      <c r="H168" s="226">
        <v>13411.7</v>
      </c>
      <c r="I168" s="226">
        <v>93160.78</v>
      </c>
      <c r="J168" s="226">
        <v>76818.25</v>
      </c>
      <c r="K168" s="226">
        <v>16342.52</v>
      </c>
      <c r="L168" s="226">
        <v>339364.26</v>
      </c>
      <c r="M168" s="226">
        <v>3535.68</v>
      </c>
      <c r="N168" s="226">
        <v>335828.58</v>
      </c>
      <c r="O168" s="222">
        <v>0</v>
      </c>
      <c r="P168" s="226">
        <v>555158.38</v>
      </c>
      <c r="Q168" s="226">
        <v>189575.58</v>
      </c>
      <c r="R168" s="226">
        <v>365582.8</v>
      </c>
      <c r="S168" s="227">
        <v>0.34139999999999998</v>
      </c>
    </row>
    <row r="169" spans="1:19" x14ac:dyDescent="0.2">
      <c r="D169" s="82"/>
    </row>
    <row r="170" spans="1:19" ht="15.75" x14ac:dyDescent="0.25">
      <c r="A170" s="626" t="s">
        <v>17</v>
      </c>
      <c r="B170" s="627"/>
      <c r="C170" s="628"/>
      <c r="D170" s="82"/>
      <c r="E170" s="239"/>
      <c r="F170" s="240">
        <v>780245.88684224233</v>
      </c>
      <c r="G170" s="240">
        <v>722570.62020977982</v>
      </c>
      <c r="H170" s="240">
        <v>57675.268989419019</v>
      </c>
      <c r="I170" s="240">
        <v>726885.98999999976</v>
      </c>
      <c r="J170" s="240">
        <v>702956.36975000019</v>
      </c>
      <c r="K170" s="240">
        <v>23928.62025</v>
      </c>
      <c r="L170" s="240">
        <v>2015711.9399999997</v>
      </c>
      <c r="M170" s="240">
        <v>231353.48999999996</v>
      </c>
      <c r="N170" s="240">
        <v>1784358.4500000002</v>
      </c>
      <c r="O170" s="241">
        <v>0.47032470529589121</v>
      </c>
      <c r="P170" s="240">
        <f>F170+I170+L170</f>
        <v>3522843.8168422421</v>
      </c>
      <c r="Q170" s="240">
        <f t="shared" ref="Q170:R170" si="22">G170+J170+M170</f>
        <v>1656880.4799597801</v>
      </c>
      <c r="R170" s="240">
        <f t="shared" si="22"/>
        <v>1865962.3392394192</v>
      </c>
      <c r="S170" s="242">
        <f>Q170/P170</f>
        <v>0.47032470529589121</v>
      </c>
    </row>
    <row r="171" spans="1:19" x14ac:dyDescent="0.2">
      <c r="A171" s="238"/>
      <c r="B171" s="238" t="s">
        <v>92</v>
      </c>
      <c r="C171" s="238"/>
      <c r="D171" s="82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</row>
    <row r="172" spans="1:19" ht="15.75" x14ac:dyDescent="0.25">
      <c r="A172" s="629" t="s">
        <v>18</v>
      </c>
      <c r="B172" s="629"/>
      <c r="C172" s="629"/>
      <c r="D172" s="82"/>
      <c r="E172" s="243"/>
      <c r="F172" s="244">
        <v>418977.82041186071</v>
      </c>
      <c r="G172" s="244">
        <v>385217.15643382585</v>
      </c>
      <c r="H172" s="244">
        <v>33760.663978034994</v>
      </c>
      <c r="I172" s="244">
        <v>350643.41</v>
      </c>
      <c r="J172" s="244">
        <v>344413.04</v>
      </c>
      <c r="K172" s="244">
        <v>6229.3700000000008</v>
      </c>
      <c r="L172" s="244">
        <v>1029387.1299999999</v>
      </c>
      <c r="M172" s="244">
        <v>205658.04999999993</v>
      </c>
      <c r="N172" s="244">
        <v>823729.08000000007</v>
      </c>
      <c r="O172" s="241">
        <v>0.51989099495885793</v>
      </c>
      <c r="P172" s="244">
        <f>F172+I172+L172</f>
        <v>1799008.3604118605</v>
      </c>
      <c r="Q172" s="244">
        <f t="shared" ref="Q172:R175" si="23">G172+J172+M172</f>
        <v>935288.24643382581</v>
      </c>
      <c r="R172" s="244">
        <f t="shared" si="23"/>
        <v>863719.11397803505</v>
      </c>
      <c r="S172" s="245">
        <f>Q172/P172</f>
        <v>0.51989099495885793</v>
      </c>
    </row>
    <row r="173" spans="1:19" ht="15.75" x14ac:dyDescent="0.25">
      <c r="A173" s="629" t="s">
        <v>19</v>
      </c>
      <c r="B173" s="629"/>
      <c r="C173" s="629"/>
      <c r="D173" s="82"/>
      <c r="E173" s="243"/>
      <c r="F173" s="244">
        <v>154127.14000000001</v>
      </c>
      <c r="G173" s="244">
        <v>146047.087640154</v>
      </c>
      <c r="H173" s="244">
        <v>8080.0523598459822</v>
      </c>
      <c r="I173" s="244">
        <v>155695.62</v>
      </c>
      <c r="J173" s="244">
        <v>148631.96</v>
      </c>
      <c r="K173" s="244">
        <v>7063.6600000000035</v>
      </c>
      <c r="L173" s="244">
        <v>430801.91000000003</v>
      </c>
      <c r="M173" s="244">
        <v>15114.29</v>
      </c>
      <c r="N173" s="244">
        <v>415687.62</v>
      </c>
      <c r="O173" s="241">
        <v>0.41828654943421473</v>
      </c>
      <c r="P173" s="244">
        <f t="shared" ref="P173:P175" si="24">F173+I173+L173</f>
        <v>740624.67</v>
      </c>
      <c r="Q173" s="244">
        <f t="shared" si="23"/>
        <v>309793.337640154</v>
      </c>
      <c r="R173" s="244">
        <f t="shared" si="23"/>
        <v>430831.33235984598</v>
      </c>
      <c r="S173" s="245">
        <f t="shared" ref="S173:S175" si="25">Q173/P173</f>
        <v>0.41828654943421473</v>
      </c>
    </row>
    <row r="174" spans="1:19" ht="15.75" x14ac:dyDescent="0.25">
      <c r="A174" s="629" t="s">
        <v>20</v>
      </c>
      <c r="B174" s="629"/>
      <c r="C174" s="629"/>
      <c r="D174" s="82"/>
      <c r="E174" s="243"/>
      <c r="F174" s="244">
        <v>104184.5236</v>
      </c>
      <c r="G174" s="244">
        <v>97571.581858261095</v>
      </c>
      <c r="H174" s="244">
        <v>6612.9417417388931</v>
      </c>
      <c r="I174" s="244">
        <v>121636.20999999998</v>
      </c>
      <c r="J174" s="244">
        <v>114191.06974999998</v>
      </c>
      <c r="K174" s="244">
        <v>7445.1402500000004</v>
      </c>
      <c r="L174" s="244">
        <v>226341.53000000003</v>
      </c>
      <c r="M174" s="244">
        <v>10312.009999999998</v>
      </c>
      <c r="N174" s="244">
        <v>216029.52000000002</v>
      </c>
      <c r="O174" s="241">
        <v>0.49113930879627055</v>
      </c>
      <c r="P174" s="244">
        <f t="shared" si="24"/>
        <v>452162.26360000001</v>
      </c>
      <c r="Q174" s="244">
        <f t="shared" si="23"/>
        <v>222074.66160826109</v>
      </c>
      <c r="R174" s="244">
        <f t="shared" si="23"/>
        <v>230087.60199173892</v>
      </c>
      <c r="S174" s="245">
        <f t="shared" si="25"/>
        <v>0.49113930879627055</v>
      </c>
    </row>
    <row r="175" spans="1:19" ht="15.75" x14ac:dyDescent="0.25">
      <c r="A175" s="629" t="s">
        <v>21</v>
      </c>
      <c r="B175" s="629"/>
      <c r="C175" s="629"/>
      <c r="D175" s="82"/>
      <c r="E175" s="243"/>
      <c r="F175" s="244">
        <v>102956.40283038173</v>
      </c>
      <c r="G175" s="244">
        <v>93734.794277538749</v>
      </c>
      <c r="H175" s="244">
        <v>9221.6109097991703</v>
      </c>
      <c r="I175" s="244">
        <v>98910.75</v>
      </c>
      <c r="J175" s="244">
        <v>95720.299999999988</v>
      </c>
      <c r="K175" s="244">
        <v>3190.45</v>
      </c>
      <c r="L175" s="244">
        <v>329181.36999999994</v>
      </c>
      <c r="M175" s="244">
        <v>269.14</v>
      </c>
      <c r="N175" s="244">
        <v>328912.22999999992</v>
      </c>
      <c r="O175" s="241">
        <v>0.35726346298139916</v>
      </c>
      <c r="P175" s="244">
        <f t="shared" si="24"/>
        <v>531048.52283038164</v>
      </c>
      <c r="Q175" s="244">
        <f t="shared" si="23"/>
        <v>189724.23427753875</v>
      </c>
      <c r="R175" s="244">
        <f t="shared" si="23"/>
        <v>341324.29090979911</v>
      </c>
      <c r="S175" s="245">
        <f t="shared" si="25"/>
        <v>0.35726346298139916</v>
      </c>
    </row>
  </sheetData>
  <sortState ref="A6:V133">
    <sortCondition ref="A6:A133"/>
  </sortState>
  <mergeCells count="40">
    <mergeCell ref="A142:C142"/>
    <mergeCell ref="A144:C144"/>
    <mergeCell ref="A145:C145"/>
    <mergeCell ref="A146:C146"/>
    <mergeCell ref="A147:C147"/>
    <mergeCell ref="A170:C170"/>
    <mergeCell ref="A172:C172"/>
    <mergeCell ref="A173:C173"/>
    <mergeCell ref="A174:C174"/>
    <mergeCell ref="A175:C175"/>
    <mergeCell ref="A163:C163"/>
    <mergeCell ref="A165:C165"/>
    <mergeCell ref="A166:C166"/>
    <mergeCell ref="A167:C167"/>
    <mergeCell ref="A168:C168"/>
    <mergeCell ref="A156:C156"/>
    <mergeCell ref="A158:C158"/>
    <mergeCell ref="A159:C159"/>
    <mergeCell ref="A160:C160"/>
    <mergeCell ref="A161:C161"/>
    <mergeCell ref="A140:C140"/>
    <mergeCell ref="A134:C134"/>
    <mergeCell ref="A135:C135"/>
    <mergeCell ref="A137:C137"/>
    <mergeCell ref="A138:C138"/>
    <mergeCell ref="A139:C139"/>
    <mergeCell ref="A1:S1"/>
    <mergeCell ref="F3:S3"/>
    <mergeCell ref="F4:H4"/>
    <mergeCell ref="I4:K4"/>
    <mergeCell ref="L4:N4"/>
    <mergeCell ref="P4:P5"/>
    <mergeCell ref="Q4:Q5"/>
    <mergeCell ref="R4:R5"/>
    <mergeCell ref="S4:S5"/>
    <mergeCell ref="A149:C149"/>
    <mergeCell ref="A151:C151"/>
    <mergeCell ref="A152:C152"/>
    <mergeCell ref="A153:C153"/>
    <mergeCell ref="A154:C154"/>
  </mergeCells>
  <conditionalFormatting sqref="S6:S133">
    <cfRule type="cellIs" dxfId="0" priority="1" operator="greaterThan">
      <formula>0.66</formula>
    </cfRule>
  </conditionalFormatting>
  <hyperlinks>
    <hyperlink ref="D63" location="'2009-10'!A160" display="Bottom" xr:uid="{00000000-0004-0000-0200-000000000000}"/>
  </hyperlinks>
  <printOptions horizontalCentered="1"/>
  <pageMargins left="0.25" right="0.25" top="0.75" bottom="0.75" header="0.3" footer="0.3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66"/>
  <sheetViews>
    <sheetView zoomScaleNormal="100" zoomScaleSheetLayoutView="100" workbookViewId="0">
      <pane xSplit="4" ySplit="4" topLeftCell="E116" activePane="bottomRight" state="frozen"/>
      <selection activeCell="B36" sqref="B36"/>
      <selection pane="topRight" activeCell="B36" sqref="B36"/>
      <selection pane="bottomLeft" activeCell="B36" sqref="B36"/>
      <selection pane="bottomRight" activeCell="A135" sqref="A135:C135"/>
    </sheetView>
  </sheetViews>
  <sheetFormatPr defaultRowHeight="12.75" x14ac:dyDescent="0.2"/>
  <cols>
    <col min="1" max="1" width="8" style="78" bestFit="1" customWidth="1"/>
    <col min="2" max="2" width="26" style="78" bestFit="1" customWidth="1"/>
    <col min="3" max="3" width="15.140625" style="78" bestFit="1" customWidth="1"/>
    <col min="4" max="4" width="3" style="94" bestFit="1" customWidth="1"/>
    <col min="5" max="5" width="1.7109375" style="95" customWidth="1"/>
    <col min="6" max="6" width="8.42578125" style="96" bestFit="1" customWidth="1"/>
    <col min="7" max="7" width="8.28515625" style="96" bestFit="1" customWidth="1"/>
    <col min="8" max="8" width="8.42578125" style="96" bestFit="1" customWidth="1"/>
    <col min="9" max="9" width="0.85546875" style="105" customWidth="1"/>
    <col min="10" max="10" width="8.42578125" style="96" bestFit="1" customWidth="1"/>
    <col min="11" max="11" width="9.28515625" style="96" customWidth="1"/>
    <col min="12" max="12" width="8.42578125" style="96" bestFit="1" customWidth="1"/>
    <col min="13" max="13" width="0.85546875" style="105" customWidth="1"/>
    <col min="14" max="14" width="8.42578125" style="78" bestFit="1" customWidth="1"/>
    <col min="15" max="15" width="9.42578125" style="78" bestFit="1" customWidth="1"/>
    <col min="16" max="16" width="8.42578125" style="78" bestFit="1" customWidth="1"/>
    <col min="17" max="17" width="1.7109375" style="78" customWidth="1"/>
    <col min="21" max="16384" width="9.140625" style="78"/>
  </cols>
  <sheetData>
    <row r="1" spans="1:20" s="62" customFormat="1" ht="15.75" x14ac:dyDescent="0.25">
      <c r="A1" s="601" t="s">
        <v>297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R1" s="20"/>
      <c r="S1" s="20"/>
      <c r="T1" s="20"/>
    </row>
    <row r="2" spans="1:20" s="68" customFormat="1" ht="15.75" x14ac:dyDescent="0.25">
      <c r="A2" s="63"/>
      <c r="B2" s="64"/>
      <c r="C2" s="64"/>
      <c r="D2" s="64"/>
      <c r="E2" s="65"/>
      <c r="F2" s="65"/>
      <c r="G2" s="65"/>
      <c r="H2" s="65"/>
      <c r="I2" s="64"/>
      <c r="J2" s="65"/>
      <c r="K2" s="65"/>
      <c r="L2" s="65"/>
      <c r="M2" s="64"/>
      <c r="N2" s="65"/>
      <c r="O2" s="65"/>
      <c r="P2" s="65"/>
      <c r="R2" s="15"/>
      <c r="S2" s="15"/>
      <c r="T2" s="15"/>
    </row>
    <row r="3" spans="1:20" s="73" customFormat="1" ht="15.75" customHeight="1" x14ac:dyDescent="0.25">
      <c r="A3" s="69"/>
      <c r="B3" s="70"/>
      <c r="C3" s="64"/>
      <c r="D3" s="71"/>
      <c r="E3" s="98"/>
      <c r="F3" s="636" t="s">
        <v>48</v>
      </c>
      <c r="G3" s="637"/>
      <c r="H3" s="637"/>
      <c r="I3" s="71"/>
      <c r="J3" s="636" t="s">
        <v>49</v>
      </c>
      <c r="K3" s="638"/>
      <c r="L3" s="638"/>
      <c r="M3" s="71"/>
      <c r="N3" s="636" t="s">
        <v>50</v>
      </c>
      <c r="O3" s="637"/>
      <c r="P3" s="637"/>
      <c r="R3" s="634" t="s">
        <v>120</v>
      </c>
      <c r="S3" s="635"/>
      <c r="T3" s="635"/>
    </row>
    <row r="4" spans="1:20" ht="74.25" x14ac:dyDescent="0.25">
      <c r="A4" s="364" t="s">
        <v>285</v>
      </c>
      <c r="B4" s="445" t="s">
        <v>286</v>
      </c>
      <c r="C4" s="444" t="s">
        <v>108</v>
      </c>
      <c r="D4" s="446" t="s">
        <v>11</v>
      </c>
      <c r="E4" s="98"/>
      <c r="F4" s="447" t="s">
        <v>287</v>
      </c>
      <c r="G4" s="447" t="s">
        <v>288</v>
      </c>
      <c r="H4" s="447" t="s">
        <v>289</v>
      </c>
      <c r="I4" s="99"/>
      <c r="J4" s="447" t="s">
        <v>287</v>
      </c>
      <c r="K4" s="447" t="s">
        <v>288</v>
      </c>
      <c r="L4" s="447" t="s">
        <v>289</v>
      </c>
      <c r="M4" s="99"/>
      <c r="N4" s="447" t="s">
        <v>287</v>
      </c>
      <c r="O4" s="447" t="s">
        <v>288</v>
      </c>
      <c r="P4" s="447" t="s">
        <v>289</v>
      </c>
      <c r="R4" s="447" t="s">
        <v>287</v>
      </c>
      <c r="S4" s="447" t="s">
        <v>288</v>
      </c>
      <c r="T4" s="447" t="s">
        <v>289</v>
      </c>
    </row>
    <row r="5" spans="1:20" x14ac:dyDescent="0.2">
      <c r="A5" s="377">
        <v>10050</v>
      </c>
      <c r="B5" s="377" t="s">
        <v>124</v>
      </c>
      <c r="C5" s="377" t="s">
        <v>703</v>
      </c>
      <c r="D5" s="404" t="s">
        <v>2</v>
      </c>
      <c r="E5" s="390"/>
      <c r="F5" s="81">
        <v>5515</v>
      </c>
      <c r="G5" s="81">
        <v>5285.58</v>
      </c>
      <c r="H5" s="81">
        <v>229.42</v>
      </c>
      <c r="I5" s="100"/>
      <c r="J5" s="81">
        <v>1488.13</v>
      </c>
      <c r="K5" s="81">
        <v>1488.13</v>
      </c>
      <c r="L5" s="81">
        <v>0</v>
      </c>
      <c r="M5" s="100"/>
      <c r="N5" s="81">
        <v>0</v>
      </c>
      <c r="O5" s="81">
        <v>0</v>
      </c>
      <c r="P5" s="81">
        <v>0</v>
      </c>
      <c r="R5" s="219">
        <f>F5+J5+N5</f>
        <v>7003.13</v>
      </c>
      <c r="S5" s="219">
        <f t="shared" ref="S5:T20" si="0">G5+K5+O5</f>
        <v>6773.71</v>
      </c>
      <c r="T5" s="219">
        <f t="shared" si="0"/>
        <v>229.42</v>
      </c>
    </row>
    <row r="6" spans="1:20" x14ac:dyDescent="0.2">
      <c r="A6" s="376">
        <v>10130</v>
      </c>
      <c r="B6" s="376" t="s">
        <v>126</v>
      </c>
      <c r="C6" s="376" t="s">
        <v>125</v>
      </c>
      <c r="D6" s="404" t="s">
        <v>2</v>
      </c>
      <c r="E6" s="390"/>
      <c r="F6" s="81">
        <v>1760.92</v>
      </c>
      <c r="G6" s="81">
        <v>1712.14</v>
      </c>
      <c r="H6" s="81">
        <v>48.78</v>
      </c>
      <c r="I6" s="100"/>
      <c r="J6" s="81">
        <v>678.65</v>
      </c>
      <c r="K6" s="81">
        <v>660.36</v>
      </c>
      <c r="L6" s="81">
        <v>18.29</v>
      </c>
      <c r="M6" s="100"/>
      <c r="N6" s="81">
        <v>0</v>
      </c>
      <c r="O6" s="81">
        <v>0</v>
      </c>
      <c r="P6" s="81">
        <v>0</v>
      </c>
      <c r="R6" s="219">
        <f t="shared" ref="R6:T69" si="1">F6+J6+N6</f>
        <v>2439.5700000000002</v>
      </c>
      <c r="S6" s="219">
        <f t="shared" si="0"/>
        <v>2372.5</v>
      </c>
      <c r="T6" s="219">
        <f t="shared" si="0"/>
        <v>67.069999999999993</v>
      </c>
    </row>
    <row r="7" spans="1:20" x14ac:dyDescent="0.2">
      <c r="A7" s="376">
        <v>10250</v>
      </c>
      <c r="B7" s="376" t="s">
        <v>132</v>
      </c>
      <c r="C7" s="376" t="s">
        <v>131</v>
      </c>
      <c r="D7" s="404" t="s">
        <v>5</v>
      </c>
      <c r="E7" s="390"/>
      <c r="F7" s="81">
        <v>5035.5600000000004</v>
      </c>
      <c r="G7" s="81">
        <v>4991.46</v>
      </c>
      <c r="H7" s="81">
        <v>44.1</v>
      </c>
      <c r="I7" s="100"/>
      <c r="J7" s="81">
        <v>934</v>
      </c>
      <c r="K7" s="81">
        <v>873</v>
      </c>
      <c r="L7" s="81">
        <v>61</v>
      </c>
      <c r="M7" s="100"/>
      <c r="N7" s="81">
        <v>0</v>
      </c>
      <c r="O7" s="81">
        <v>0</v>
      </c>
      <c r="P7" s="81">
        <v>0</v>
      </c>
      <c r="R7" s="219">
        <f t="shared" si="1"/>
        <v>5969.56</v>
      </c>
      <c r="S7" s="219">
        <f t="shared" si="0"/>
        <v>5864.46</v>
      </c>
      <c r="T7" s="219">
        <f t="shared" si="0"/>
        <v>105.1</v>
      </c>
    </row>
    <row r="8" spans="1:20" x14ac:dyDescent="0.2">
      <c r="A8" s="376">
        <v>10300</v>
      </c>
      <c r="B8" s="376" t="s">
        <v>133</v>
      </c>
      <c r="C8" s="376" t="s">
        <v>703</v>
      </c>
      <c r="D8" s="404" t="s">
        <v>2</v>
      </c>
      <c r="E8" s="390"/>
      <c r="F8" s="81">
        <v>0</v>
      </c>
      <c r="G8" s="81">
        <v>0</v>
      </c>
      <c r="H8" s="81">
        <v>0</v>
      </c>
      <c r="I8" s="100"/>
      <c r="J8" s="81">
        <v>0</v>
      </c>
      <c r="K8" s="81">
        <v>0</v>
      </c>
      <c r="L8" s="81">
        <v>0</v>
      </c>
      <c r="M8" s="100"/>
      <c r="N8" s="81">
        <v>0</v>
      </c>
      <c r="O8" s="81">
        <v>0</v>
      </c>
      <c r="P8" s="81">
        <v>0</v>
      </c>
      <c r="R8" s="219">
        <f t="shared" si="1"/>
        <v>0</v>
      </c>
      <c r="S8" s="219">
        <f t="shared" si="0"/>
        <v>0</v>
      </c>
      <c r="T8" s="219">
        <f t="shared" si="0"/>
        <v>0</v>
      </c>
    </row>
    <row r="9" spans="1:20" x14ac:dyDescent="0.2">
      <c r="A9" s="376">
        <v>10470</v>
      </c>
      <c r="B9" s="376" t="s">
        <v>135</v>
      </c>
      <c r="C9" s="376" t="s">
        <v>293</v>
      </c>
      <c r="D9" s="404" t="s">
        <v>2</v>
      </c>
      <c r="E9" s="390"/>
      <c r="F9" s="81">
        <v>2705.89</v>
      </c>
      <c r="G9" s="81">
        <v>2490.89</v>
      </c>
      <c r="H9" s="81">
        <v>215</v>
      </c>
      <c r="I9" s="100"/>
      <c r="J9" s="81">
        <v>1738.58</v>
      </c>
      <c r="K9" s="81">
        <v>1738.58</v>
      </c>
      <c r="L9" s="81">
        <v>0</v>
      </c>
      <c r="M9" s="100"/>
      <c r="N9" s="81">
        <v>0</v>
      </c>
      <c r="O9" s="81">
        <v>0</v>
      </c>
      <c r="P9" s="81">
        <v>0</v>
      </c>
      <c r="R9" s="219">
        <f t="shared" si="1"/>
        <v>4444.4699999999993</v>
      </c>
      <c r="S9" s="219">
        <f t="shared" si="0"/>
        <v>4229.4699999999993</v>
      </c>
      <c r="T9" s="219">
        <f t="shared" si="0"/>
        <v>215</v>
      </c>
    </row>
    <row r="10" spans="1:20" x14ac:dyDescent="0.2">
      <c r="A10" s="376">
        <v>10500</v>
      </c>
      <c r="B10" s="376" t="s">
        <v>149</v>
      </c>
      <c r="C10" s="376" t="s">
        <v>127</v>
      </c>
      <c r="D10" s="404" t="s">
        <v>4</v>
      </c>
      <c r="E10" s="390"/>
      <c r="F10" s="81">
        <v>11781</v>
      </c>
      <c r="G10" s="81">
        <v>9257</v>
      </c>
      <c r="H10" s="81">
        <v>2524</v>
      </c>
      <c r="I10" s="100"/>
      <c r="J10" s="81">
        <v>27.61</v>
      </c>
      <c r="K10" s="81">
        <v>27.61</v>
      </c>
      <c r="L10" s="81">
        <v>0</v>
      </c>
      <c r="M10" s="100"/>
      <c r="N10" s="81">
        <v>228</v>
      </c>
      <c r="O10" s="81">
        <v>228</v>
      </c>
      <c r="P10" s="81">
        <v>0</v>
      </c>
      <c r="R10" s="219">
        <f t="shared" si="1"/>
        <v>12036.61</v>
      </c>
      <c r="S10" s="219">
        <f t="shared" si="0"/>
        <v>9512.61</v>
      </c>
      <c r="T10" s="219">
        <f t="shared" si="0"/>
        <v>2524</v>
      </c>
    </row>
    <row r="11" spans="1:20" x14ac:dyDescent="0.2">
      <c r="A11" s="376">
        <v>10550</v>
      </c>
      <c r="B11" s="376" t="s">
        <v>138</v>
      </c>
      <c r="C11" s="376" t="s">
        <v>704</v>
      </c>
      <c r="D11" s="404" t="s">
        <v>2</v>
      </c>
      <c r="E11" s="390"/>
      <c r="F11" s="81">
        <v>4002</v>
      </c>
      <c r="G11" s="81">
        <v>3835.52</v>
      </c>
      <c r="H11" s="81">
        <v>166.48</v>
      </c>
      <c r="I11" s="100"/>
      <c r="J11" s="81">
        <v>1871</v>
      </c>
      <c r="K11" s="81">
        <v>1871</v>
      </c>
      <c r="L11" s="81">
        <v>0</v>
      </c>
      <c r="M11" s="100"/>
      <c r="N11" s="81">
        <v>0</v>
      </c>
      <c r="O11" s="81">
        <v>0</v>
      </c>
      <c r="P11" s="81">
        <v>0</v>
      </c>
      <c r="R11" s="219">
        <f t="shared" si="1"/>
        <v>5873</v>
      </c>
      <c r="S11" s="219">
        <f t="shared" si="0"/>
        <v>5706.52</v>
      </c>
      <c r="T11" s="219">
        <f t="shared" si="0"/>
        <v>166.48</v>
      </c>
    </row>
    <row r="12" spans="1:20" x14ac:dyDescent="0.2">
      <c r="A12" s="376">
        <v>10600</v>
      </c>
      <c r="B12" s="376" t="s">
        <v>139</v>
      </c>
      <c r="C12" s="376" t="s">
        <v>294</v>
      </c>
      <c r="D12" s="404" t="s">
        <v>5</v>
      </c>
      <c r="E12" s="390"/>
      <c r="F12" s="81">
        <v>1168.22</v>
      </c>
      <c r="G12" s="81">
        <v>1052.22</v>
      </c>
      <c r="H12" s="81">
        <v>116</v>
      </c>
      <c r="I12" s="100"/>
      <c r="J12" s="81">
        <v>559.53</v>
      </c>
      <c r="K12" s="81">
        <v>559.53</v>
      </c>
      <c r="L12" s="81">
        <v>0</v>
      </c>
      <c r="M12" s="100"/>
      <c r="N12" s="81">
        <v>0</v>
      </c>
      <c r="O12" s="81">
        <v>0</v>
      </c>
      <c r="P12" s="81">
        <v>0</v>
      </c>
      <c r="R12" s="219">
        <f t="shared" si="1"/>
        <v>1727.75</v>
      </c>
      <c r="S12" s="219">
        <f t="shared" si="0"/>
        <v>1611.75</v>
      </c>
      <c r="T12" s="219">
        <f t="shared" si="0"/>
        <v>116</v>
      </c>
    </row>
    <row r="13" spans="1:20" x14ac:dyDescent="0.2">
      <c r="A13" s="376">
        <v>10650</v>
      </c>
      <c r="B13" s="376" t="s">
        <v>140</v>
      </c>
      <c r="C13" s="376" t="s">
        <v>703</v>
      </c>
      <c r="D13" s="404" t="s">
        <v>2</v>
      </c>
      <c r="E13" s="390"/>
      <c r="F13" s="81">
        <v>704</v>
      </c>
      <c r="G13" s="81">
        <v>674.71</v>
      </c>
      <c r="H13" s="81">
        <v>29.29</v>
      </c>
      <c r="I13" s="100"/>
      <c r="J13" s="81">
        <v>475</v>
      </c>
      <c r="K13" s="81">
        <v>475</v>
      </c>
      <c r="L13" s="81">
        <v>0</v>
      </c>
      <c r="M13" s="100"/>
      <c r="N13" s="81">
        <v>0</v>
      </c>
      <c r="O13" s="81">
        <v>0</v>
      </c>
      <c r="P13" s="81">
        <v>0</v>
      </c>
      <c r="R13" s="219">
        <f t="shared" si="1"/>
        <v>1179</v>
      </c>
      <c r="S13" s="219">
        <f t="shared" si="0"/>
        <v>1149.71</v>
      </c>
      <c r="T13" s="219">
        <f t="shared" si="0"/>
        <v>29.29</v>
      </c>
    </row>
    <row r="14" spans="1:20" x14ac:dyDescent="0.2">
      <c r="A14" s="376">
        <v>10750</v>
      </c>
      <c r="B14" s="376" t="s">
        <v>141</v>
      </c>
      <c r="C14" s="376" t="s">
        <v>129</v>
      </c>
      <c r="D14" s="404" t="s">
        <v>4</v>
      </c>
      <c r="E14" s="390"/>
      <c r="F14" s="81">
        <v>23500</v>
      </c>
      <c r="G14" s="81">
        <v>21025.45</v>
      </c>
      <c r="H14" s="81">
        <v>2474.5500000000002</v>
      </c>
      <c r="I14" s="100"/>
      <c r="J14" s="81">
        <v>0</v>
      </c>
      <c r="K14" s="81">
        <v>0</v>
      </c>
      <c r="L14" s="81">
        <v>0</v>
      </c>
      <c r="M14" s="100"/>
      <c r="N14" s="81">
        <v>1513</v>
      </c>
      <c r="O14" s="81">
        <v>1513</v>
      </c>
      <c r="P14" s="81">
        <v>0</v>
      </c>
      <c r="R14" s="219">
        <f t="shared" si="1"/>
        <v>25013</v>
      </c>
      <c r="S14" s="219">
        <f t="shared" si="0"/>
        <v>22538.45</v>
      </c>
      <c r="T14" s="219">
        <f t="shared" si="0"/>
        <v>2474.5500000000002</v>
      </c>
    </row>
    <row r="15" spans="1:20" x14ac:dyDescent="0.2">
      <c r="A15" s="376">
        <v>10800</v>
      </c>
      <c r="B15" s="376" t="s">
        <v>143</v>
      </c>
      <c r="C15" s="376" t="s">
        <v>142</v>
      </c>
      <c r="D15" s="404" t="s">
        <v>2</v>
      </c>
      <c r="E15" s="390"/>
      <c r="F15" s="81">
        <v>0</v>
      </c>
      <c r="G15" s="81">
        <v>0</v>
      </c>
      <c r="H15" s="81">
        <v>0</v>
      </c>
      <c r="I15" s="100"/>
      <c r="J15" s="81">
        <v>61</v>
      </c>
      <c r="K15" s="81">
        <v>61</v>
      </c>
      <c r="L15" s="81">
        <v>0</v>
      </c>
      <c r="M15" s="100"/>
      <c r="N15" s="81">
        <v>0</v>
      </c>
      <c r="O15" s="81">
        <v>0</v>
      </c>
      <c r="P15" s="81">
        <v>0</v>
      </c>
      <c r="R15" s="219">
        <f t="shared" si="1"/>
        <v>61</v>
      </c>
      <c r="S15" s="219">
        <f t="shared" si="0"/>
        <v>61</v>
      </c>
      <c r="T15" s="219">
        <f t="shared" si="0"/>
        <v>0</v>
      </c>
    </row>
    <row r="16" spans="1:20" x14ac:dyDescent="0.2">
      <c r="A16" s="376">
        <v>10850</v>
      </c>
      <c r="B16" s="376" t="s">
        <v>144</v>
      </c>
      <c r="C16" s="376" t="s">
        <v>293</v>
      </c>
      <c r="D16" s="404" t="s">
        <v>2</v>
      </c>
      <c r="E16" s="390"/>
      <c r="F16" s="81">
        <v>534.83000000000004</v>
      </c>
      <c r="G16" s="81">
        <v>495.15</v>
      </c>
      <c r="H16" s="81">
        <v>39.68</v>
      </c>
      <c r="I16" s="100"/>
      <c r="J16" s="81">
        <v>594</v>
      </c>
      <c r="K16" s="81">
        <v>594</v>
      </c>
      <c r="L16" s="81">
        <v>0</v>
      </c>
      <c r="M16" s="100"/>
      <c r="N16" s="81">
        <v>0</v>
      </c>
      <c r="O16" s="81">
        <v>0</v>
      </c>
      <c r="P16" s="81">
        <v>0</v>
      </c>
      <c r="R16" s="219">
        <f t="shared" si="1"/>
        <v>1128.83</v>
      </c>
      <c r="S16" s="219">
        <f t="shared" si="0"/>
        <v>1089.1500000000001</v>
      </c>
      <c r="T16" s="219">
        <f t="shared" si="0"/>
        <v>39.68</v>
      </c>
    </row>
    <row r="17" spans="1:20" x14ac:dyDescent="0.2">
      <c r="A17" s="376">
        <v>10900</v>
      </c>
      <c r="B17" s="376" t="s">
        <v>145</v>
      </c>
      <c r="C17" s="376" t="s">
        <v>129</v>
      </c>
      <c r="D17" s="404" t="s">
        <v>5</v>
      </c>
      <c r="E17" s="390"/>
      <c r="F17" s="81">
        <v>8375.31</v>
      </c>
      <c r="G17" s="81">
        <v>7621.53</v>
      </c>
      <c r="H17" s="81">
        <v>753.78</v>
      </c>
      <c r="I17" s="100"/>
      <c r="J17" s="81">
        <v>3247.86</v>
      </c>
      <c r="K17" s="81">
        <v>3233.88</v>
      </c>
      <c r="L17" s="81">
        <v>13.98</v>
      </c>
      <c r="M17" s="100"/>
      <c r="N17" s="81">
        <v>0</v>
      </c>
      <c r="O17" s="81">
        <v>0</v>
      </c>
      <c r="P17" s="81">
        <v>0</v>
      </c>
      <c r="R17" s="219">
        <f t="shared" si="1"/>
        <v>11623.17</v>
      </c>
      <c r="S17" s="219">
        <f t="shared" si="0"/>
        <v>10855.41</v>
      </c>
      <c r="T17" s="219">
        <f t="shared" si="0"/>
        <v>767.76</v>
      </c>
    </row>
    <row r="18" spans="1:20" x14ac:dyDescent="0.2">
      <c r="A18" s="376">
        <v>10950</v>
      </c>
      <c r="B18" s="376" t="s">
        <v>146</v>
      </c>
      <c r="C18" s="376" t="s">
        <v>293</v>
      </c>
      <c r="D18" s="404" t="s">
        <v>2</v>
      </c>
      <c r="E18" s="390"/>
      <c r="F18" s="81">
        <v>179</v>
      </c>
      <c r="G18" s="81">
        <v>117</v>
      </c>
      <c r="H18" s="81">
        <v>62</v>
      </c>
      <c r="I18" s="100"/>
      <c r="J18" s="81">
        <v>21</v>
      </c>
      <c r="K18" s="81">
        <v>21</v>
      </c>
      <c r="L18" s="81">
        <v>0</v>
      </c>
      <c r="M18" s="100"/>
      <c r="N18" s="81">
        <v>0</v>
      </c>
      <c r="O18" s="81">
        <v>0</v>
      </c>
      <c r="P18" s="81">
        <v>0</v>
      </c>
      <c r="R18" s="219">
        <f t="shared" si="1"/>
        <v>200</v>
      </c>
      <c r="S18" s="219">
        <f t="shared" si="0"/>
        <v>138</v>
      </c>
      <c r="T18" s="219">
        <f t="shared" si="0"/>
        <v>62</v>
      </c>
    </row>
    <row r="19" spans="1:20" x14ac:dyDescent="0.2">
      <c r="A19" s="376">
        <v>11150</v>
      </c>
      <c r="B19" s="376" t="s">
        <v>150</v>
      </c>
      <c r="C19" s="376" t="s">
        <v>293</v>
      </c>
      <c r="D19" s="404" t="s">
        <v>2</v>
      </c>
      <c r="E19" s="390"/>
      <c r="F19" s="81">
        <v>0</v>
      </c>
      <c r="G19" s="81">
        <v>0</v>
      </c>
      <c r="H19" s="81">
        <v>0</v>
      </c>
      <c r="I19" s="100"/>
      <c r="J19" s="81">
        <v>0</v>
      </c>
      <c r="K19" s="81">
        <v>0</v>
      </c>
      <c r="L19" s="81">
        <v>0</v>
      </c>
      <c r="M19" s="100"/>
      <c r="N19" s="81">
        <v>0</v>
      </c>
      <c r="O19" s="81">
        <v>0</v>
      </c>
      <c r="P19" s="81">
        <v>0</v>
      </c>
      <c r="R19" s="219">
        <f t="shared" si="1"/>
        <v>0</v>
      </c>
      <c r="S19" s="219">
        <f t="shared" si="0"/>
        <v>0</v>
      </c>
      <c r="T19" s="219">
        <f t="shared" si="0"/>
        <v>0</v>
      </c>
    </row>
    <row r="20" spans="1:20" x14ac:dyDescent="0.2">
      <c r="A20" s="376">
        <v>11200</v>
      </c>
      <c r="B20" s="376" t="s">
        <v>151</v>
      </c>
      <c r="C20" s="376" t="s">
        <v>293</v>
      </c>
      <c r="D20" s="404" t="s">
        <v>2</v>
      </c>
      <c r="E20" s="390"/>
      <c r="F20" s="81">
        <v>0</v>
      </c>
      <c r="G20" s="81">
        <v>0</v>
      </c>
      <c r="H20" s="81">
        <v>0</v>
      </c>
      <c r="I20" s="100"/>
      <c r="J20" s="81">
        <v>106</v>
      </c>
      <c r="K20" s="81">
        <v>106</v>
      </c>
      <c r="L20" s="81">
        <v>0</v>
      </c>
      <c r="M20" s="100"/>
      <c r="N20" s="81">
        <v>3</v>
      </c>
      <c r="O20" s="81">
        <v>3</v>
      </c>
      <c r="P20" s="81">
        <v>0</v>
      </c>
      <c r="R20" s="219">
        <f t="shared" si="1"/>
        <v>109</v>
      </c>
      <c r="S20" s="219">
        <f t="shared" si="0"/>
        <v>109</v>
      </c>
      <c r="T20" s="219">
        <f t="shared" si="0"/>
        <v>0</v>
      </c>
    </row>
    <row r="21" spans="1:20" x14ac:dyDescent="0.2">
      <c r="A21" s="376">
        <v>11250</v>
      </c>
      <c r="B21" s="376" t="s">
        <v>152</v>
      </c>
      <c r="C21" s="376" t="s">
        <v>293</v>
      </c>
      <c r="D21" s="404" t="s">
        <v>2</v>
      </c>
      <c r="E21" s="390"/>
      <c r="F21" s="81">
        <v>0</v>
      </c>
      <c r="G21" s="81">
        <v>0</v>
      </c>
      <c r="H21" s="81">
        <v>0</v>
      </c>
      <c r="I21" s="100"/>
      <c r="J21" s="81">
        <v>0</v>
      </c>
      <c r="K21" s="81">
        <v>0</v>
      </c>
      <c r="L21" s="81">
        <v>0</v>
      </c>
      <c r="M21" s="100"/>
      <c r="N21" s="81">
        <v>0</v>
      </c>
      <c r="O21" s="81">
        <v>0</v>
      </c>
      <c r="P21" s="81">
        <v>0</v>
      </c>
      <c r="R21" s="219">
        <f t="shared" si="1"/>
        <v>0</v>
      </c>
      <c r="S21" s="219">
        <f t="shared" si="1"/>
        <v>0</v>
      </c>
      <c r="T21" s="219">
        <f t="shared" si="1"/>
        <v>0</v>
      </c>
    </row>
    <row r="22" spans="1:20" x14ac:dyDescent="0.2">
      <c r="A22" s="376">
        <v>11300</v>
      </c>
      <c r="B22" s="376" t="s">
        <v>153</v>
      </c>
      <c r="C22" s="376" t="s">
        <v>127</v>
      </c>
      <c r="D22" s="404" t="s">
        <v>4</v>
      </c>
      <c r="E22" s="390"/>
      <c r="F22" s="81">
        <v>2568.12</v>
      </c>
      <c r="G22" s="81">
        <v>2279.98</v>
      </c>
      <c r="H22" s="81">
        <v>288.14</v>
      </c>
      <c r="I22" s="100"/>
      <c r="J22" s="81">
        <v>18.190000000000001</v>
      </c>
      <c r="K22" s="81">
        <v>18.190000000000001</v>
      </c>
      <c r="L22" s="81">
        <v>0</v>
      </c>
      <c r="M22" s="100"/>
      <c r="N22" s="81">
        <v>0</v>
      </c>
      <c r="O22" s="81">
        <v>0</v>
      </c>
      <c r="P22" s="81">
        <v>0</v>
      </c>
      <c r="R22" s="219">
        <f t="shared" si="1"/>
        <v>2586.31</v>
      </c>
      <c r="S22" s="219">
        <f t="shared" si="1"/>
        <v>2298.17</v>
      </c>
      <c r="T22" s="219">
        <f t="shared" si="1"/>
        <v>288.14</v>
      </c>
    </row>
    <row r="23" spans="1:20" x14ac:dyDescent="0.2">
      <c r="A23" s="376">
        <v>11350</v>
      </c>
      <c r="B23" s="376" t="s">
        <v>154</v>
      </c>
      <c r="C23" s="376" t="s">
        <v>131</v>
      </c>
      <c r="D23" s="404" t="s">
        <v>5</v>
      </c>
      <c r="E23" s="390"/>
      <c r="F23" s="81">
        <v>5354.72</v>
      </c>
      <c r="G23" s="81">
        <v>5341.56</v>
      </c>
      <c r="H23" s="81">
        <v>13.16</v>
      </c>
      <c r="I23" s="100"/>
      <c r="J23" s="81">
        <v>1550.7099999999998</v>
      </c>
      <c r="K23" s="81">
        <v>1550.7099999999998</v>
      </c>
      <c r="L23" s="81">
        <v>0</v>
      </c>
      <c r="M23" s="100"/>
      <c r="N23" s="81">
        <v>0</v>
      </c>
      <c r="O23" s="81">
        <v>0</v>
      </c>
      <c r="P23" s="81">
        <v>0</v>
      </c>
      <c r="R23" s="219">
        <f t="shared" si="1"/>
        <v>6905.43</v>
      </c>
      <c r="S23" s="219">
        <f t="shared" si="1"/>
        <v>6892.27</v>
      </c>
      <c r="T23" s="219">
        <f t="shared" si="1"/>
        <v>13.16</v>
      </c>
    </row>
    <row r="24" spans="1:20" x14ac:dyDescent="0.2">
      <c r="A24" s="376">
        <v>11400</v>
      </c>
      <c r="B24" s="376" t="s">
        <v>155</v>
      </c>
      <c r="C24" s="376" t="s">
        <v>293</v>
      </c>
      <c r="D24" s="404" t="s">
        <v>2</v>
      </c>
      <c r="E24" s="390"/>
      <c r="F24" s="81">
        <v>678.92</v>
      </c>
      <c r="G24" s="81">
        <v>628.34</v>
      </c>
      <c r="H24" s="81">
        <v>50.58</v>
      </c>
      <c r="I24" s="100"/>
      <c r="J24" s="81">
        <v>1590.3000000000002</v>
      </c>
      <c r="K24" s="81">
        <v>1590.3000000000002</v>
      </c>
      <c r="L24" s="81">
        <v>0</v>
      </c>
      <c r="M24" s="100"/>
      <c r="N24" s="81">
        <v>0</v>
      </c>
      <c r="O24" s="81">
        <v>0</v>
      </c>
      <c r="P24" s="81">
        <v>0</v>
      </c>
      <c r="R24" s="219">
        <f t="shared" si="1"/>
        <v>2269.2200000000003</v>
      </c>
      <c r="S24" s="219">
        <f t="shared" si="1"/>
        <v>2218.6400000000003</v>
      </c>
      <c r="T24" s="219">
        <f t="shared" si="1"/>
        <v>50.58</v>
      </c>
    </row>
    <row r="25" spans="1:20" x14ac:dyDescent="0.2">
      <c r="A25" s="376">
        <v>11450</v>
      </c>
      <c r="B25" s="376" t="s">
        <v>157</v>
      </c>
      <c r="C25" s="376" t="s">
        <v>156</v>
      </c>
      <c r="D25" s="404" t="s">
        <v>4</v>
      </c>
      <c r="E25" s="390"/>
      <c r="F25" s="81">
        <v>9197</v>
      </c>
      <c r="G25" s="81">
        <v>8322.09</v>
      </c>
      <c r="H25" s="81">
        <v>874.91</v>
      </c>
      <c r="I25" s="100"/>
      <c r="J25" s="81">
        <v>0</v>
      </c>
      <c r="K25" s="81">
        <v>0</v>
      </c>
      <c r="L25" s="81">
        <v>0</v>
      </c>
      <c r="M25" s="100"/>
      <c r="N25" s="81">
        <v>0</v>
      </c>
      <c r="O25" s="81">
        <v>0</v>
      </c>
      <c r="P25" s="81">
        <v>0</v>
      </c>
      <c r="R25" s="219">
        <f t="shared" si="1"/>
        <v>9197</v>
      </c>
      <c r="S25" s="219">
        <f t="shared" si="1"/>
        <v>8322.09</v>
      </c>
      <c r="T25" s="219">
        <f t="shared" si="1"/>
        <v>874.91</v>
      </c>
    </row>
    <row r="26" spans="1:20" x14ac:dyDescent="0.2">
      <c r="A26" s="376">
        <v>11500</v>
      </c>
      <c r="B26" s="376" t="s">
        <v>158</v>
      </c>
      <c r="C26" s="376" t="s">
        <v>156</v>
      </c>
      <c r="D26" s="404" t="s">
        <v>4</v>
      </c>
      <c r="E26" s="390"/>
      <c r="F26" s="81">
        <v>14101</v>
      </c>
      <c r="G26" s="81">
        <v>12409</v>
      </c>
      <c r="H26" s="81">
        <v>1692</v>
      </c>
      <c r="I26" s="100"/>
      <c r="J26" s="81">
        <v>0</v>
      </c>
      <c r="K26" s="81">
        <v>0</v>
      </c>
      <c r="L26" s="81">
        <v>0</v>
      </c>
      <c r="M26" s="100"/>
      <c r="N26" s="81">
        <v>1700</v>
      </c>
      <c r="O26" s="81">
        <v>350</v>
      </c>
      <c r="P26" s="81">
        <v>1350</v>
      </c>
      <c r="R26" s="219">
        <f t="shared" si="1"/>
        <v>15801</v>
      </c>
      <c r="S26" s="219">
        <f t="shared" si="1"/>
        <v>12759</v>
      </c>
      <c r="T26" s="219">
        <f t="shared" si="1"/>
        <v>3042</v>
      </c>
    </row>
    <row r="27" spans="1:20" x14ac:dyDescent="0.2">
      <c r="A27" s="376">
        <v>11520</v>
      </c>
      <c r="B27" s="376" t="s">
        <v>159</v>
      </c>
      <c r="C27" s="376" t="s">
        <v>127</v>
      </c>
      <c r="D27" s="404" t="s">
        <v>4</v>
      </c>
      <c r="E27" s="390"/>
      <c r="F27" s="81">
        <v>7905</v>
      </c>
      <c r="G27" s="81">
        <v>7510</v>
      </c>
      <c r="H27" s="81">
        <v>395</v>
      </c>
      <c r="I27" s="100"/>
      <c r="J27" s="81">
        <v>24.1</v>
      </c>
      <c r="K27" s="81">
        <v>24.1</v>
      </c>
      <c r="L27" s="81">
        <v>0</v>
      </c>
      <c r="M27" s="100"/>
      <c r="N27" s="81">
        <v>188.87</v>
      </c>
      <c r="O27" s="81">
        <v>188.87</v>
      </c>
      <c r="P27" s="81">
        <v>0</v>
      </c>
      <c r="R27" s="219">
        <f t="shared" si="1"/>
        <v>8117.97</v>
      </c>
      <c r="S27" s="219">
        <f t="shared" si="1"/>
        <v>7722.97</v>
      </c>
      <c r="T27" s="219">
        <f t="shared" si="1"/>
        <v>395</v>
      </c>
    </row>
    <row r="28" spans="1:20" x14ac:dyDescent="0.2">
      <c r="A28" s="376">
        <v>11570</v>
      </c>
      <c r="B28" s="376" t="s">
        <v>134</v>
      </c>
      <c r="C28" s="376" t="s">
        <v>127</v>
      </c>
      <c r="D28" s="404" t="s">
        <v>4</v>
      </c>
      <c r="E28" s="390"/>
      <c r="F28" s="81">
        <v>26190.25</v>
      </c>
      <c r="G28" s="81">
        <v>22259.09</v>
      </c>
      <c r="H28" s="81">
        <v>3931.16</v>
      </c>
      <c r="I28" s="100"/>
      <c r="J28" s="81">
        <v>56.83</v>
      </c>
      <c r="K28" s="81">
        <v>56.83</v>
      </c>
      <c r="L28" s="81">
        <v>0</v>
      </c>
      <c r="M28" s="100"/>
      <c r="N28" s="81">
        <v>0</v>
      </c>
      <c r="O28" s="81">
        <v>0</v>
      </c>
      <c r="P28" s="81">
        <v>0</v>
      </c>
      <c r="R28" s="219">
        <f t="shared" si="1"/>
        <v>26247.08</v>
      </c>
      <c r="S28" s="219">
        <f t="shared" si="1"/>
        <v>22315.920000000002</v>
      </c>
      <c r="T28" s="219">
        <f t="shared" si="1"/>
        <v>3931.16</v>
      </c>
    </row>
    <row r="29" spans="1:20" x14ac:dyDescent="0.2">
      <c r="A29" s="376">
        <v>11600</v>
      </c>
      <c r="B29" s="376" t="s">
        <v>161</v>
      </c>
      <c r="C29" s="376" t="s">
        <v>705</v>
      </c>
      <c r="D29" s="404" t="s">
        <v>2</v>
      </c>
      <c r="E29" s="390"/>
      <c r="F29" s="81">
        <v>0</v>
      </c>
      <c r="G29" s="81">
        <v>0</v>
      </c>
      <c r="H29" s="81">
        <v>0</v>
      </c>
      <c r="I29" s="100"/>
      <c r="J29" s="81">
        <v>0</v>
      </c>
      <c r="K29" s="81">
        <v>0</v>
      </c>
      <c r="L29" s="81">
        <v>0</v>
      </c>
      <c r="M29" s="100"/>
      <c r="N29" s="81">
        <v>0</v>
      </c>
      <c r="O29" s="81">
        <v>0</v>
      </c>
      <c r="P29" s="81">
        <v>0</v>
      </c>
      <c r="R29" s="219">
        <f t="shared" si="1"/>
        <v>0</v>
      </c>
      <c r="S29" s="219">
        <f t="shared" si="1"/>
        <v>0</v>
      </c>
      <c r="T29" s="219">
        <f t="shared" si="1"/>
        <v>0</v>
      </c>
    </row>
    <row r="30" spans="1:20" x14ac:dyDescent="0.2">
      <c r="A30" s="376">
        <v>11650</v>
      </c>
      <c r="B30" s="376" t="s">
        <v>181</v>
      </c>
      <c r="C30" s="376" t="s">
        <v>163</v>
      </c>
      <c r="D30" s="404" t="s">
        <v>3</v>
      </c>
      <c r="E30" s="390"/>
      <c r="F30" s="81">
        <v>36611</v>
      </c>
      <c r="G30" s="81">
        <v>33529</v>
      </c>
      <c r="H30" s="81">
        <v>3082</v>
      </c>
      <c r="I30" s="100"/>
      <c r="J30" s="81">
        <v>6527</v>
      </c>
      <c r="K30" s="81">
        <v>6506</v>
      </c>
      <c r="L30" s="81">
        <v>21</v>
      </c>
      <c r="M30" s="100"/>
      <c r="N30" s="81">
        <v>0</v>
      </c>
      <c r="O30" s="81">
        <v>0</v>
      </c>
      <c r="P30" s="81">
        <v>0</v>
      </c>
      <c r="R30" s="219">
        <f t="shared" si="1"/>
        <v>43138</v>
      </c>
      <c r="S30" s="219">
        <f t="shared" si="1"/>
        <v>40035</v>
      </c>
      <c r="T30" s="219">
        <f t="shared" si="1"/>
        <v>3103</v>
      </c>
    </row>
    <row r="31" spans="1:20" x14ac:dyDescent="0.2">
      <c r="A31" s="376">
        <v>11700</v>
      </c>
      <c r="B31" s="376" t="s">
        <v>162</v>
      </c>
      <c r="C31" s="376" t="s">
        <v>293</v>
      </c>
      <c r="D31" s="404" t="s">
        <v>2</v>
      </c>
      <c r="E31" s="390"/>
      <c r="F31" s="81">
        <v>0</v>
      </c>
      <c r="G31" s="81">
        <v>0</v>
      </c>
      <c r="H31" s="81">
        <v>0</v>
      </c>
      <c r="I31" s="100"/>
      <c r="J31" s="81">
        <v>0</v>
      </c>
      <c r="K31" s="81">
        <v>0</v>
      </c>
      <c r="L31" s="81">
        <v>0</v>
      </c>
      <c r="M31" s="100"/>
      <c r="N31" s="81">
        <v>0</v>
      </c>
      <c r="O31" s="81">
        <v>0</v>
      </c>
      <c r="P31" s="81">
        <v>0</v>
      </c>
      <c r="R31" s="219">
        <f t="shared" si="1"/>
        <v>0</v>
      </c>
      <c r="S31" s="219">
        <f t="shared" si="1"/>
        <v>0</v>
      </c>
      <c r="T31" s="219">
        <f t="shared" si="1"/>
        <v>0</v>
      </c>
    </row>
    <row r="32" spans="1:20" x14ac:dyDescent="0.2">
      <c r="A32" s="376">
        <v>11720</v>
      </c>
      <c r="B32" s="376" t="s">
        <v>164</v>
      </c>
      <c r="C32" s="376" t="s">
        <v>163</v>
      </c>
      <c r="D32" s="404" t="s">
        <v>3</v>
      </c>
      <c r="E32" s="390"/>
      <c r="F32" s="81">
        <v>5074.58</v>
      </c>
      <c r="G32" s="81">
        <v>4967.95</v>
      </c>
      <c r="H32" s="81">
        <v>106.63</v>
      </c>
      <c r="I32" s="100"/>
      <c r="J32" s="81">
        <v>1556.81</v>
      </c>
      <c r="K32" s="81">
        <v>1556.81</v>
      </c>
      <c r="L32" s="81">
        <v>0</v>
      </c>
      <c r="M32" s="100"/>
      <c r="N32" s="81">
        <v>0</v>
      </c>
      <c r="O32" s="81">
        <v>0</v>
      </c>
      <c r="P32" s="81">
        <v>0</v>
      </c>
      <c r="R32" s="219">
        <f t="shared" si="1"/>
        <v>6631.3899999999994</v>
      </c>
      <c r="S32" s="219">
        <f t="shared" si="1"/>
        <v>6524.76</v>
      </c>
      <c r="T32" s="219">
        <f t="shared" si="1"/>
        <v>106.63</v>
      </c>
    </row>
    <row r="33" spans="1:20" x14ac:dyDescent="0.2">
      <c r="A33" s="376">
        <v>11730</v>
      </c>
      <c r="B33" s="376" t="s">
        <v>165</v>
      </c>
      <c r="C33" s="376" t="s">
        <v>131</v>
      </c>
      <c r="D33" s="404" t="s">
        <v>5</v>
      </c>
      <c r="E33" s="390"/>
      <c r="F33" s="81">
        <v>6948</v>
      </c>
      <c r="G33" s="81">
        <v>6746</v>
      </c>
      <c r="H33" s="81">
        <v>202</v>
      </c>
      <c r="I33" s="100"/>
      <c r="J33" s="81">
        <v>2901</v>
      </c>
      <c r="K33" s="81">
        <v>2901</v>
      </c>
      <c r="L33" s="81">
        <v>0</v>
      </c>
      <c r="M33" s="100"/>
      <c r="N33" s="81">
        <v>0</v>
      </c>
      <c r="O33" s="81">
        <v>0</v>
      </c>
      <c r="P33" s="81">
        <v>0</v>
      </c>
      <c r="R33" s="219">
        <f t="shared" si="1"/>
        <v>9849</v>
      </c>
      <c r="S33" s="219">
        <f t="shared" si="1"/>
        <v>9647</v>
      </c>
      <c r="T33" s="219">
        <f t="shared" si="1"/>
        <v>202</v>
      </c>
    </row>
    <row r="34" spans="1:20" x14ac:dyDescent="0.2">
      <c r="A34" s="376">
        <v>11750</v>
      </c>
      <c r="B34" s="376" t="s">
        <v>166</v>
      </c>
      <c r="C34" s="376" t="s">
        <v>293</v>
      </c>
      <c r="D34" s="404" t="s">
        <v>2</v>
      </c>
      <c r="E34" s="390"/>
      <c r="F34" s="81">
        <v>0</v>
      </c>
      <c r="G34" s="81">
        <v>0</v>
      </c>
      <c r="H34" s="81">
        <v>0</v>
      </c>
      <c r="I34" s="100"/>
      <c r="J34" s="81">
        <v>0</v>
      </c>
      <c r="K34" s="81">
        <v>0</v>
      </c>
      <c r="L34" s="81">
        <v>0</v>
      </c>
      <c r="M34" s="100"/>
      <c r="N34" s="81">
        <v>0</v>
      </c>
      <c r="O34" s="81">
        <v>0</v>
      </c>
      <c r="P34" s="81">
        <v>0</v>
      </c>
      <c r="R34" s="219">
        <f t="shared" si="1"/>
        <v>0</v>
      </c>
      <c r="S34" s="219">
        <f t="shared" si="1"/>
        <v>0</v>
      </c>
      <c r="T34" s="219">
        <f t="shared" si="1"/>
        <v>0</v>
      </c>
    </row>
    <row r="35" spans="1:20" x14ac:dyDescent="0.2">
      <c r="A35" s="376">
        <v>11800</v>
      </c>
      <c r="B35" s="376" t="s">
        <v>167</v>
      </c>
      <c r="C35" s="376" t="s">
        <v>294</v>
      </c>
      <c r="D35" s="404" t="s">
        <v>5</v>
      </c>
      <c r="E35" s="390"/>
      <c r="F35" s="81">
        <v>8749.2000000000007</v>
      </c>
      <c r="G35" s="81">
        <v>7483.46</v>
      </c>
      <c r="H35" s="81">
        <v>1265.74</v>
      </c>
      <c r="I35" s="100"/>
      <c r="J35" s="81">
        <v>373.71000000000004</v>
      </c>
      <c r="K35" s="81">
        <v>373.71000000000004</v>
      </c>
      <c r="L35" s="81">
        <v>0</v>
      </c>
      <c r="M35" s="100"/>
      <c r="N35" s="81">
        <v>71.97999999999999</v>
      </c>
      <c r="O35" s="81">
        <v>71.97999999999999</v>
      </c>
      <c r="P35" s="81">
        <v>0</v>
      </c>
      <c r="R35" s="219">
        <f t="shared" si="1"/>
        <v>9194.89</v>
      </c>
      <c r="S35" s="219">
        <f t="shared" si="1"/>
        <v>7929.15</v>
      </c>
      <c r="T35" s="219">
        <f t="shared" si="1"/>
        <v>1265.74</v>
      </c>
    </row>
    <row r="36" spans="1:20" x14ac:dyDescent="0.2">
      <c r="A36" s="376">
        <v>12000</v>
      </c>
      <c r="B36" s="376" t="s">
        <v>169</v>
      </c>
      <c r="C36" s="376" t="s">
        <v>142</v>
      </c>
      <c r="D36" s="404" t="s">
        <v>2</v>
      </c>
      <c r="E36" s="390"/>
      <c r="F36" s="81">
        <v>316</v>
      </c>
      <c r="G36" s="81">
        <v>302.85000000000002</v>
      </c>
      <c r="H36" s="81">
        <v>13.15</v>
      </c>
      <c r="I36" s="100"/>
      <c r="J36" s="81">
        <v>0</v>
      </c>
      <c r="K36" s="81">
        <v>0</v>
      </c>
      <c r="L36" s="81">
        <v>0</v>
      </c>
      <c r="M36" s="100"/>
      <c r="N36" s="81">
        <v>0</v>
      </c>
      <c r="O36" s="81">
        <v>0</v>
      </c>
      <c r="P36" s="81">
        <v>0</v>
      </c>
      <c r="R36" s="219">
        <f t="shared" si="1"/>
        <v>316</v>
      </c>
      <c r="S36" s="219">
        <f t="shared" si="1"/>
        <v>302.85000000000002</v>
      </c>
      <c r="T36" s="219">
        <f t="shared" si="1"/>
        <v>13.15</v>
      </c>
    </row>
    <row r="37" spans="1:20" x14ac:dyDescent="0.2">
      <c r="A37" s="376">
        <v>12150</v>
      </c>
      <c r="B37" s="376" t="s">
        <v>170</v>
      </c>
      <c r="C37" s="376" t="s">
        <v>293</v>
      </c>
      <c r="D37" s="404" t="s">
        <v>2</v>
      </c>
      <c r="E37" s="390"/>
      <c r="F37" s="81">
        <v>0</v>
      </c>
      <c r="G37" s="81">
        <v>0</v>
      </c>
      <c r="H37" s="81">
        <v>0</v>
      </c>
      <c r="I37" s="100"/>
      <c r="J37" s="81">
        <v>0</v>
      </c>
      <c r="K37" s="81">
        <v>0</v>
      </c>
      <c r="L37" s="81">
        <v>0</v>
      </c>
      <c r="M37" s="100"/>
      <c r="N37" s="81">
        <v>0</v>
      </c>
      <c r="O37" s="81">
        <v>0</v>
      </c>
      <c r="P37" s="81">
        <v>0</v>
      </c>
      <c r="R37" s="219">
        <f t="shared" si="1"/>
        <v>0</v>
      </c>
      <c r="S37" s="219">
        <f t="shared" si="1"/>
        <v>0</v>
      </c>
      <c r="T37" s="219">
        <f t="shared" si="1"/>
        <v>0</v>
      </c>
    </row>
    <row r="38" spans="1:20" x14ac:dyDescent="0.2">
      <c r="A38" s="376">
        <v>12350</v>
      </c>
      <c r="B38" s="376" t="s">
        <v>172</v>
      </c>
      <c r="C38" s="376" t="s">
        <v>293</v>
      </c>
      <c r="D38" s="404" t="s">
        <v>2</v>
      </c>
      <c r="E38" s="390"/>
      <c r="F38" s="81">
        <v>988.07</v>
      </c>
      <c r="G38" s="81">
        <v>983.07</v>
      </c>
      <c r="H38" s="81">
        <v>5</v>
      </c>
      <c r="I38" s="100"/>
      <c r="J38" s="81">
        <v>0.12</v>
      </c>
      <c r="K38" s="81">
        <v>0</v>
      </c>
      <c r="L38" s="81">
        <v>0.12</v>
      </c>
      <c r="M38" s="100"/>
      <c r="N38" s="81">
        <v>0</v>
      </c>
      <c r="O38" s="81">
        <v>0</v>
      </c>
      <c r="P38" s="81">
        <v>0</v>
      </c>
      <c r="R38" s="219">
        <f t="shared" si="1"/>
        <v>988.19</v>
      </c>
      <c r="S38" s="219">
        <f t="shared" si="1"/>
        <v>983.07</v>
      </c>
      <c r="T38" s="219">
        <f t="shared" si="1"/>
        <v>5.12</v>
      </c>
    </row>
    <row r="39" spans="1:20" x14ac:dyDescent="0.2">
      <c r="A39" s="376">
        <v>12380</v>
      </c>
      <c r="B39" s="376" t="s">
        <v>130</v>
      </c>
      <c r="C39" s="376" t="s">
        <v>129</v>
      </c>
      <c r="D39" s="404" t="s">
        <v>4</v>
      </c>
      <c r="E39" s="390"/>
      <c r="F39" s="81">
        <v>11387</v>
      </c>
      <c r="G39" s="81">
        <v>10088.879999999999</v>
      </c>
      <c r="H39" s="81">
        <v>1298.1199999999999</v>
      </c>
      <c r="I39" s="100"/>
      <c r="J39" s="81">
        <v>114.9</v>
      </c>
      <c r="K39" s="81">
        <v>114.9</v>
      </c>
      <c r="L39" s="81">
        <v>0</v>
      </c>
      <c r="M39" s="100"/>
      <c r="N39" s="81">
        <v>72</v>
      </c>
      <c r="O39" s="81">
        <v>72</v>
      </c>
      <c r="P39" s="81">
        <v>0</v>
      </c>
      <c r="R39" s="219">
        <f t="shared" si="1"/>
        <v>11573.9</v>
      </c>
      <c r="S39" s="219">
        <f t="shared" si="1"/>
        <v>10275.779999999999</v>
      </c>
      <c r="T39" s="219">
        <f t="shared" si="1"/>
        <v>1298.1199999999999</v>
      </c>
    </row>
    <row r="40" spans="1:20" x14ac:dyDescent="0.2">
      <c r="A40" s="376">
        <v>12700</v>
      </c>
      <c r="B40" s="376" t="s">
        <v>174</v>
      </c>
      <c r="C40" s="376" t="s">
        <v>163</v>
      </c>
      <c r="D40" s="404" t="s">
        <v>5</v>
      </c>
      <c r="E40" s="390"/>
      <c r="F40" s="81">
        <v>843.21</v>
      </c>
      <c r="G40" s="81">
        <v>791.84</v>
      </c>
      <c r="H40" s="81">
        <v>51.37</v>
      </c>
      <c r="I40" s="100"/>
      <c r="J40" s="81">
        <v>901.47</v>
      </c>
      <c r="K40" s="81">
        <v>901.47</v>
      </c>
      <c r="L40" s="81">
        <v>0</v>
      </c>
      <c r="M40" s="100"/>
      <c r="N40" s="81">
        <v>0</v>
      </c>
      <c r="O40" s="81">
        <v>0</v>
      </c>
      <c r="P40" s="81">
        <v>0</v>
      </c>
      <c r="R40" s="219">
        <f t="shared" si="1"/>
        <v>1744.68</v>
      </c>
      <c r="S40" s="219">
        <f t="shared" si="1"/>
        <v>1693.31</v>
      </c>
      <c r="T40" s="219">
        <f t="shared" si="1"/>
        <v>51.37</v>
      </c>
    </row>
    <row r="41" spans="1:20" x14ac:dyDescent="0.2">
      <c r="A41" s="376">
        <v>12730</v>
      </c>
      <c r="B41" s="376" t="s">
        <v>168</v>
      </c>
      <c r="C41" s="376" t="s">
        <v>703</v>
      </c>
      <c r="D41" s="404" t="s">
        <v>2</v>
      </c>
      <c r="E41" s="390"/>
      <c r="F41" s="81">
        <v>0</v>
      </c>
      <c r="G41" s="81">
        <v>0</v>
      </c>
      <c r="H41" s="81">
        <v>0</v>
      </c>
      <c r="I41" s="100"/>
      <c r="J41" s="81">
        <v>398.75</v>
      </c>
      <c r="K41" s="81">
        <v>352.18</v>
      </c>
      <c r="L41" s="81">
        <v>46.57</v>
      </c>
      <c r="M41" s="100"/>
      <c r="N41" s="81">
        <v>0</v>
      </c>
      <c r="O41" s="81">
        <v>0</v>
      </c>
      <c r="P41" s="81">
        <v>0</v>
      </c>
      <c r="R41" s="219">
        <f t="shared" si="1"/>
        <v>398.75</v>
      </c>
      <c r="S41" s="219">
        <f t="shared" si="1"/>
        <v>352.18</v>
      </c>
      <c r="T41" s="219">
        <f t="shared" si="1"/>
        <v>46.57</v>
      </c>
    </row>
    <row r="42" spans="1:20" x14ac:dyDescent="0.2">
      <c r="A42" s="376">
        <v>12750</v>
      </c>
      <c r="B42" s="376" t="s">
        <v>175</v>
      </c>
      <c r="C42" s="376" t="s">
        <v>704</v>
      </c>
      <c r="D42" s="404" t="s">
        <v>2</v>
      </c>
      <c r="E42" s="390"/>
      <c r="F42" s="81">
        <v>4736</v>
      </c>
      <c r="G42" s="81">
        <v>4310</v>
      </c>
      <c r="H42" s="81">
        <v>426</v>
      </c>
      <c r="I42" s="100"/>
      <c r="J42" s="81">
        <v>1992</v>
      </c>
      <c r="K42" s="81">
        <v>1992</v>
      </c>
      <c r="L42" s="81">
        <v>0</v>
      </c>
      <c r="M42" s="100"/>
      <c r="N42" s="81">
        <v>371.07</v>
      </c>
      <c r="O42" s="81">
        <v>371.07</v>
      </c>
      <c r="P42" s="81">
        <v>0</v>
      </c>
      <c r="R42" s="219">
        <f t="shared" si="1"/>
        <v>7099.07</v>
      </c>
      <c r="S42" s="219">
        <f t="shared" si="1"/>
        <v>6673.07</v>
      </c>
      <c r="T42" s="219">
        <f t="shared" si="1"/>
        <v>426</v>
      </c>
    </row>
    <row r="43" spans="1:20" x14ac:dyDescent="0.2">
      <c r="A43" s="376">
        <v>12850</v>
      </c>
      <c r="B43" s="376" t="s">
        <v>176</v>
      </c>
      <c r="C43" s="376" t="s">
        <v>129</v>
      </c>
      <c r="D43" s="404" t="s">
        <v>4</v>
      </c>
      <c r="E43" s="390"/>
      <c r="F43" s="81">
        <v>11909.47</v>
      </c>
      <c r="G43" s="81">
        <v>9682.4699999999993</v>
      </c>
      <c r="H43" s="81">
        <v>2227</v>
      </c>
      <c r="I43" s="100"/>
      <c r="J43" s="81">
        <v>45.36</v>
      </c>
      <c r="K43" s="81">
        <v>45.36</v>
      </c>
      <c r="L43" s="81">
        <v>0</v>
      </c>
      <c r="M43" s="100"/>
      <c r="N43" s="81">
        <v>0</v>
      </c>
      <c r="O43" s="81">
        <v>0</v>
      </c>
      <c r="P43" s="81">
        <v>0</v>
      </c>
      <c r="R43" s="219">
        <f t="shared" si="1"/>
        <v>11954.83</v>
      </c>
      <c r="S43" s="219">
        <f t="shared" si="1"/>
        <v>9727.83</v>
      </c>
      <c r="T43" s="219">
        <f t="shared" si="1"/>
        <v>2227</v>
      </c>
    </row>
    <row r="44" spans="1:20" x14ac:dyDescent="0.2">
      <c r="A44" s="376">
        <v>12870</v>
      </c>
      <c r="B44" s="376" t="s">
        <v>171</v>
      </c>
      <c r="C44" s="376" t="s">
        <v>703</v>
      </c>
      <c r="D44" s="404" t="s">
        <v>2</v>
      </c>
      <c r="E44" s="390"/>
      <c r="F44" s="81">
        <v>1342</v>
      </c>
      <c r="G44" s="81">
        <v>1208</v>
      </c>
      <c r="H44" s="81">
        <v>134</v>
      </c>
      <c r="I44" s="100"/>
      <c r="J44" s="81">
        <v>0</v>
      </c>
      <c r="K44" s="81">
        <v>0</v>
      </c>
      <c r="L44" s="81">
        <v>0</v>
      </c>
      <c r="M44" s="100"/>
      <c r="N44" s="81">
        <v>0</v>
      </c>
      <c r="O44" s="81">
        <v>0</v>
      </c>
      <c r="P44" s="81">
        <v>0</v>
      </c>
      <c r="R44" s="219">
        <f t="shared" si="1"/>
        <v>1342</v>
      </c>
      <c r="S44" s="219">
        <f t="shared" si="1"/>
        <v>1208</v>
      </c>
      <c r="T44" s="219">
        <f t="shared" si="1"/>
        <v>134</v>
      </c>
    </row>
    <row r="45" spans="1:20" x14ac:dyDescent="0.2">
      <c r="A45" s="376">
        <v>12900</v>
      </c>
      <c r="B45" s="376" t="s">
        <v>177</v>
      </c>
      <c r="C45" s="376" t="s">
        <v>293</v>
      </c>
      <c r="D45" s="404" t="s">
        <v>2</v>
      </c>
      <c r="E45" s="390"/>
      <c r="F45" s="81">
        <v>542</v>
      </c>
      <c r="G45" s="81">
        <v>519.45000000000005</v>
      </c>
      <c r="H45" s="81">
        <v>22.55</v>
      </c>
      <c r="I45" s="100"/>
      <c r="J45" s="81">
        <v>522</v>
      </c>
      <c r="K45" s="81">
        <v>522</v>
      </c>
      <c r="L45" s="81">
        <v>0</v>
      </c>
      <c r="M45" s="100"/>
      <c r="N45" s="81">
        <v>0</v>
      </c>
      <c r="O45" s="81">
        <v>0</v>
      </c>
      <c r="P45" s="81">
        <v>0</v>
      </c>
      <c r="R45" s="219">
        <f t="shared" si="1"/>
        <v>1064</v>
      </c>
      <c r="S45" s="219">
        <f t="shared" si="1"/>
        <v>1041.45</v>
      </c>
      <c r="T45" s="219">
        <f t="shared" si="1"/>
        <v>22.55</v>
      </c>
    </row>
    <row r="46" spans="1:20" x14ac:dyDescent="0.2">
      <c r="A46" s="376">
        <v>12930</v>
      </c>
      <c r="B46" s="376" t="s">
        <v>193</v>
      </c>
      <c r="C46" s="376" t="s">
        <v>127</v>
      </c>
      <c r="D46" s="404" t="s">
        <v>4</v>
      </c>
      <c r="E46" s="390"/>
      <c r="F46" s="81">
        <v>19613</v>
      </c>
      <c r="G46" s="81">
        <v>17299</v>
      </c>
      <c r="H46" s="81">
        <v>2314</v>
      </c>
      <c r="I46" s="100"/>
      <c r="J46" s="81">
        <v>99</v>
      </c>
      <c r="K46" s="81">
        <v>99</v>
      </c>
      <c r="L46" s="81">
        <v>0</v>
      </c>
      <c r="M46" s="100"/>
      <c r="N46" s="81">
        <v>99</v>
      </c>
      <c r="O46" s="81">
        <v>99</v>
      </c>
      <c r="P46" s="81">
        <v>0</v>
      </c>
      <c r="R46" s="219">
        <f t="shared" si="1"/>
        <v>19811</v>
      </c>
      <c r="S46" s="219">
        <f t="shared" si="1"/>
        <v>17497</v>
      </c>
      <c r="T46" s="219">
        <f t="shared" si="1"/>
        <v>2314</v>
      </c>
    </row>
    <row r="47" spans="1:20" x14ac:dyDescent="0.2">
      <c r="A47" s="376">
        <v>12950</v>
      </c>
      <c r="B47" s="376" t="s">
        <v>178</v>
      </c>
      <c r="C47" s="376" t="s">
        <v>293</v>
      </c>
      <c r="D47" s="404" t="s">
        <v>2</v>
      </c>
      <c r="E47" s="390"/>
      <c r="F47" s="81">
        <v>587.6</v>
      </c>
      <c r="G47" s="81">
        <v>563.16</v>
      </c>
      <c r="H47" s="81">
        <v>24.44</v>
      </c>
      <c r="I47" s="100"/>
      <c r="J47" s="81">
        <v>256</v>
      </c>
      <c r="K47" s="81">
        <v>256</v>
      </c>
      <c r="L47" s="81">
        <v>0</v>
      </c>
      <c r="M47" s="100"/>
      <c r="N47" s="81">
        <v>0</v>
      </c>
      <c r="O47" s="81">
        <v>0</v>
      </c>
      <c r="P47" s="81">
        <v>0</v>
      </c>
      <c r="R47" s="219">
        <f t="shared" si="1"/>
        <v>843.6</v>
      </c>
      <c r="S47" s="219">
        <f t="shared" si="1"/>
        <v>819.16</v>
      </c>
      <c r="T47" s="219">
        <f t="shared" si="1"/>
        <v>24.44</v>
      </c>
    </row>
    <row r="48" spans="1:20" x14ac:dyDescent="0.2">
      <c r="A48" s="376">
        <v>13010</v>
      </c>
      <c r="B48" s="376" t="s">
        <v>179</v>
      </c>
      <c r="C48" s="376" t="s">
        <v>125</v>
      </c>
      <c r="D48" s="404" t="s">
        <v>2</v>
      </c>
      <c r="E48" s="390"/>
      <c r="F48" s="81">
        <v>579.4</v>
      </c>
      <c r="G48" s="81">
        <v>429.4</v>
      </c>
      <c r="H48" s="81">
        <v>150</v>
      </c>
      <c r="I48" s="100"/>
      <c r="J48" s="81">
        <v>1772.92</v>
      </c>
      <c r="K48" s="81">
        <v>1772.92</v>
      </c>
      <c r="L48" s="81">
        <v>0</v>
      </c>
      <c r="M48" s="100"/>
      <c r="N48" s="81">
        <v>0</v>
      </c>
      <c r="O48" s="81">
        <v>0</v>
      </c>
      <c r="P48" s="81">
        <v>0</v>
      </c>
      <c r="R48" s="219">
        <f t="shared" si="1"/>
        <v>2352.3200000000002</v>
      </c>
      <c r="S48" s="219">
        <f t="shared" si="1"/>
        <v>2202.3200000000002</v>
      </c>
      <c r="T48" s="219">
        <f t="shared" si="1"/>
        <v>150</v>
      </c>
    </row>
    <row r="49" spans="1:20" x14ac:dyDescent="0.2">
      <c r="A49" s="376">
        <v>13310</v>
      </c>
      <c r="B49" s="376" t="s">
        <v>182</v>
      </c>
      <c r="C49" s="376" t="s">
        <v>704</v>
      </c>
      <c r="D49" s="404" t="s">
        <v>2</v>
      </c>
      <c r="E49" s="390"/>
      <c r="F49" s="81">
        <v>2090.62</v>
      </c>
      <c r="G49" s="81">
        <v>868.52</v>
      </c>
      <c r="H49" s="81">
        <v>1222.0999999999999</v>
      </c>
      <c r="I49" s="100"/>
      <c r="J49" s="81">
        <v>1405.4599999999998</v>
      </c>
      <c r="K49" s="81">
        <v>1123.9599999999998</v>
      </c>
      <c r="L49" s="81">
        <v>281.5</v>
      </c>
      <c r="M49" s="100"/>
      <c r="N49" s="81">
        <v>59.46</v>
      </c>
      <c r="O49" s="81">
        <v>59.46</v>
      </c>
      <c r="P49" s="81">
        <v>0</v>
      </c>
      <c r="R49" s="219">
        <f t="shared" si="1"/>
        <v>3555.54</v>
      </c>
      <c r="S49" s="219">
        <f t="shared" si="1"/>
        <v>2051.9399999999996</v>
      </c>
      <c r="T49" s="219">
        <f t="shared" si="1"/>
        <v>1503.6</v>
      </c>
    </row>
    <row r="50" spans="1:20" x14ac:dyDescent="0.2">
      <c r="A50" s="376">
        <v>13340</v>
      </c>
      <c r="B50" s="376" t="s">
        <v>183</v>
      </c>
      <c r="C50" s="376" t="s">
        <v>703</v>
      </c>
      <c r="D50" s="404" t="s">
        <v>2</v>
      </c>
      <c r="E50" s="390"/>
      <c r="F50" s="81">
        <v>756</v>
      </c>
      <c r="G50" s="81">
        <v>724.55</v>
      </c>
      <c r="H50" s="81">
        <v>31.45</v>
      </c>
      <c r="I50" s="100"/>
      <c r="J50" s="81">
        <v>816</v>
      </c>
      <c r="K50" s="81">
        <v>814</v>
      </c>
      <c r="L50" s="81">
        <v>2</v>
      </c>
      <c r="M50" s="100"/>
      <c r="N50" s="81">
        <v>0</v>
      </c>
      <c r="O50" s="81">
        <v>0</v>
      </c>
      <c r="P50" s="81">
        <v>0</v>
      </c>
      <c r="R50" s="219">
        <f t="shared" si="1"/>
        <v>1572</v>
      </c>
      <c r="S50" s="219">
        <f t="shared" si="1"/>
        <v>1538.55</v>
      </c>
      <c r="T50" s="219">
        <f t="shared" si="1"/>
        <v>33.450000000000003</v>
      </c>
    </row>
    <row r="51" spans="1:20" x14ac:dyDescent="0.2">
      <c r="A51" s="376">
        <v>13450</v>
      </c>
      <c r="B51" s="376" t="s">
        <v>184</v>
      </c>
      <c r="C51" s="376" t="s">
        <v>705</v>
      </c>
      <c r="D51" s="404" t="s">
        <v>2</v>
      </c>
      <c r="E51" s="390"/>
      <c r="F51" s="81">
        <v>1503</v>
      </c>
      <c r="G51" s="81">
        <v>1440.48</v>
      </c>
      <c r="H51" s="81">
        <v>62.52</v>
      </c>
      <c r="I51" s="100"/>
      <c r="J51" s="81">
        <v>66.92</v>
      </c>
      <c r="K51" s="81">
        <v>66.92</v>
      </c>
      <c r="L51" s="81">
        <v>0</v>
      </c>
      <c r="M51" s="100"/>
      <c r="N51" s="81">
        <v>0</v>
      </c>
      <c r="O51" s="81">
        <v>0</v>
      </c>
      <c r="P51" s="81">
        <v>0</v>
      </c>
      <c r="R51" s="219">
        <f t="shared" si="1"/>
        <v>1569.92</v>
      </c>
      <c r="S51" s="219">
        <f t="shared" si="1"/>
        <v>1507.4</v>
      </c>
      <c r="T51" s="219">
        <f t="shared" si="1"/>
        <v>62.52</v>
      </c>
    </row>
    <row r="52" spans="1:20" x14ac:dyDescent="0.2">
      <c r="A52" s="376">
        <v>13510</v>
      </c>
      <c r="B52" s="376" t="s">
        <v>295</v>
      </c>
      <c r="C52" s="376" t="s">
        <v>142</v>
      </c>
      <c r="D52" s="404" t="s">
        <v>2</v>
      </c>
      <c r="E52" s="390"/>
      <c r="F52" s="81">
        <v>878.36</v>
      </c>
      <c r="G52" s="81">
        <v>641.11</v>
      </c>
      <c r="H52" s="81">
        <v>237.25</v>
      </c>
      <c r="I52" s="100"/>
      <c r="J52" s="81">
        <v>1183</v>
      </c>
      <c r="K52" s="81">
        <v>929</v>
      </c>
      <c r="L52" s="81">
        <v>254</v>
      </c>
      <c r="M52" s="100"/>
      <c r="N52" s="81">
        <v>0</v>
      </c>
      <c r="O52" s="81">
        <v>0</v>
      </c>
      <c r="P52" s="81">
        <v>0</v>
      </c>
      <c r="R52" s="219">
        <f t="shared" si="1"/>
        <v>2061.36</v>
      </c>
      <c r="S52" s="219">
        <f t="shared" si="1"/>
        <v>1570.1100000000001</v>
      </c>
      <c r="T52" s="219">
        <f t="shared" si="1"/>
        <v>491.25</v>
      </c>
    </row>
    <row r="53" spans="1:20" x14ac:dyDescent="0.2">
      <c r="A53" s="376">
        <v>13550</v>
      </c>
      <c r="B53" s="376" t="s">
        <v>185</v>
      </c>
      <c r="C53" s="376" t="s">
        <v>125</v>
      </c>
      <c r="D53" s="404" t="s">
        <v>2</v>
      </c>
      <c r="E53" s="390"/>
      <c r="F53" s="81">
        <v>1336</v>
      </c>
      <c r="G53" s="81">
        <v>899.92</v>
      </c>
      <c r="H53" s="81">
        <v>436.08</v>
      </c>
      <c r="I53" s="100"/>
      <c r="J53" s="81">
        <v>941</v>
      </c>
      <c r="K53" s="81">
        <v>941</v>
      </c>
      <c r="L53" s="81">
        <v>0</v>
      </c>
      <c r="M53" s="100"/>
      <c r="N53" s="81">
        <v>0</v>
      </c>
      <c r="O53" s="81">
        <v>0</v>
      </c>
      <c r="P53" s="81">
        <v>0</v>
      </c>
      <c r="R53" s="219">
        <f t="shared" si="1"/>
        <v>2277</v>
      </c>
      <c r="S53" s="219">
        <f t="shared" si="1"/>
        <v>1840.92</v>
      </c>
      <c r="T53" s="219">
        <f t="shared" si="1"/>
        <v>436.08</v>
      </c>
    </row>
    <row r="54" spans="1:20" x14ac:dyDescent="0.2">
      <c r="A54" s="376">
        <v>13660</v>
      </c>
      <c r="B54" s="376" t="s">
        <v>186</v>
      </c>
      <c r="C54" s="376" t="s">
        <v>125</v>
      </c>
      <c r="D54" s="404" t="s">
        <v>2</v>
      </c>
      <c r="E54" s="390"/>
      <c r="F54" s="81">
        <v>283.7</v>
      </c>
      <c r="G54" s="81">
        <v>271.89999999999998</v>
      </c>
      <c r="H54" s="81">
        <v>11.8</v>
      </c>
      <c r="I54" s="100"/>
      <c r="J54" s="81">
        <v>427.29999999999995</v>
      </c>
      <c r="K54" s="81">
        <v>427.29999999999995</v>
      </c>
      <c r="L54" s="81">
        <v>0</v>
      </c>
      <c r="M54" s="100"/>
      <c r="N54" s="81">
        <v>0</v>
      </c>
      <c r="O54" s="81">
        <v>0</v>
      </c>
      <c r="P54" s="81">
        <v>0</v>
      </c>
      <c r="R54" s="219">
        <f t="shared" si="1"/>
        <v>711</v>
      </c>
      <c r="S54" s="219">
        <f t="shared" si="1"/>
        <v>699.19999999999993</v>
      </c>
      <c r="T54" s="219">
        <f t="shared" si="1"/>
        <v>11.8</v>
      </c>
    </row>
    <row r="55" spans="1:20" x14ac:dyDescent="0.2">
      <c r="A55" s="376">
        <v>13800</v>
      </c>
      <c r="B55" s="376" t="s">
        <v>188</v>
      </c>
      <c r="C55" s="376" t="s">
        <v>129</v>
      </c>
      <c r="D55" s="404" t="s">
        <v>3</v>
      </c>
      <c r="E55" s="390"/>
      <c r="F55" s="81">
        <v>6356</v>
      </c>
      <c r="G55" s="81">
        <v>5784</v>
      </c>
      <c r="H55" s="81">
        <v>572</v>
      </c>
      <c r="I55" s="100"/>
      <c r="J55" s="81">
        <v>1200</v>
      </c>
      <c r="K55" s="81">
        <v>1200</v>
      </c>
      <c r="L55" s="81">
        <v>0</v>
      </c>
      <c r="M55" s="100"/>
      <c r="N55" s="81">
        <v>13.33</v>
      </c>
      <c r="O55" s="81">
        <v>13.33</v>
      </c>
      <c r="P55" s="81">
        <v>0</v>
      </c>
      <c r="R55" s="219">
        <f t="shared" si="1"/>
        <v>7569.33</v>
      </c>
      <c r="S55" s="219">
        <f t="shared" si="1"/>
        <v>6997.33</v>
      </c>
      <c r="T55" s="219">
        <f t="shared" si="1"/>
        <v>572</v>
      </c>
    </row>
    <row r="56" spans="1:20" x14ac:dyDescent="0.2">
      <c r="A56" s="376">
        <v>13850</v>
      </c>
      <c r="B56" s="376" t="s">
        <v>189</v>
      </c>
      <c r="C56" s="376" t="s">
        <v>705</v>
      </c>
      <c r="D56" s="404" t="s">
        <v>2</v>
      </c>
      <c r="E56" s="390"/>
      <c r="F56" s="81">
        <v>0</v>
      </c>
      <c r="G56" s="81">
        <v>0</v>
      </c>
      <c r="H56" s="81">
        <v>0</v>
      </c>
      <c r="I56" s="100"/>
      <c r="J56" s="81">
        <v>0</v>
      </c>
      <c r="K56" s="81">
        <v>0</v>
      </c>
      <c r="L56" s="81">
        <v>0</v>
      </c>
      <c r="M56" s="100"/>
      <c r="N56" s="81">
        <v>0</v>
      </c>
      <c r="O56" s="81">
        <v>0</v>
      </c>
      <c r="P56" s="81">
        <v>0</v>
      </c>
      <c r="R56" s="219">
        <f t="shared" si="1"/>
        <v>0</v>
      </c>
      <c r="S56" s="219">
        <f t="shared" si="1"/>
        <v>0</v>
      </c>
      <c r="T56" s="219">
        <f t="shared" si="1"/>
        <v>0</v>
      </c>
    </row>
    <row r="57" spans="1:20" x14ac:dyDescent="0.2">
      <c r="A57" s="376">
        <v>13910</v>
      </c>
      <c r="B57" s="376" t="s">
        <v>148</v>
      </c>
      <c r="C57" s="376" t="s">
        <v>704</v>
      </c>
      <c r="D57" s="404" t="s">
        <v>2</v>
      </c>
      <c r="E57" s="390"/>
      <c r="F57" s="81">
        <v>1189</v>
      </c>
      <c r="G57" s="81">
        <v>1019</v>
      </c>
      <c r="H57" s="81">
        <v>170</v>
      </c>
      <c r="I57" s="100"/>
      <c r="J57" s="81">
        <v>2936</v>
      </c>
      <c r="K57" s="81">
        <v>2856</v>
      </c>
      <c r="L57" s="81">
        <v>80</v>
      </c>
      <c r="M57" s="100"/>
      <c r="N57" s="81">
        <v>0</v>
      </c>
      <c r="O57" s="81">
        <v>0</v>
      </c>
      <c r="P57" s="81">
        <v>0</v>
      </c>
      <c r="R57" s="219">
        <f t="shared" si="1"/>
        <v>4125</v>
      </c>
      <c r="S57" s="219">
        <f t="shared" si="1"/>
        <v>3875</v>
      </c>
      <c r="T57" s="219">
        <f t="shared" si="1"/>
        <v>250</v>
      </c>
    </row>
    <row r="58" spans="1:20" x14ac:dyDescent="0.2">
      <c r="A58" s="376">
        <v>14000</v>
      </c>
      <c r="B58" s="376" t="s">
        <v>191</v>
      </c>
      <c r="C58" s="376" t="s">
        <v>190</v>
      </c>
      <c r="D58" s="404" t="s">
        <v>4</v>
      </c>
      <c r="E58" s="390"/>
      <c r="F58" s="81">
        <v>14101.53</v>
      </c>
      <c r="G58" s="81">
        <v>13227.24</v>
      </c>
      <c r="H58" s="81">
        <v>874.29</v>
      </c>
      <c r="I58" s="100"/>
      <c r="J58" s="81">
        <v>72</v>
      </c>
      <c r="K58" s="81">
        <v>72</v>
      </c>
      <c r="L58" s="81">
        <v>0</v>
      </c>
      <c r="M58" s="100"/>
      <c r="N58" s="81">
        <v>14101.53</v>
      </c>
      <c r="O58" s="81">
        <v>14101.53</v>
      </c>
      <c r="P58" s="81">
        <v>0</v>
      </c>
      <c r="R58" s="219">
        <f t="shared" si="1"/>
        <v>28275.06</v>
      </c>
      <c r="S58" s="219">
        <f t="shared" si="1"/>
        <v>27400.77</v>
      </c>
      <c r="T58" s="219">
        <f t="shared" si="1"/>
        <v>874.29</v>
      </c>
    </row>
    <row r="59" spans="1:20" x14ac:dyDescent="0.2">
      <c r="A59" s="376">
        <v>14100</v>
      </c>
      <c r="B59" s="376" t="s">
        <v>192</v>
      </c>
      <c r="C59" s="376" t="s">
        <v>190</v>
      </c>
      <c r="D59" s="404" t="s">
        <v>4</v>
      </c>
      <c r="E59" s="390"/>
      <c r="F59" s="81">
        <v>1237</v>
      </c>
      <c r="G59" s="81">
        <v>1199.6400000000001</v>
      </c>
      <c r="H59" s="81">
        <v>37.36</v>
      </c>
      <c r="I59" s="100"/>
      <c r="J59" s="81">
        <v>0</v>
      </c>
      <c r="K59" s="81">
        <v>0</v>
      </c>
      <c r="L59" s="81">
        <v>0</v>
      </c>
      <c r="M59" s="100"/>
      <c r="N59" s="81">
        <v>159.19</v>
      </c>
      <c r="O59" s="81">
        <v>159.19</v>
      </c>
      <c r="P59" s="81">
        <v>0</v>
      </c>
      <c r="R59" s="219">
        <f t="shared" si="1"/>
        <v>1396.19</v>
      </c>
      <c r="S59" s="219">
        <f t="shared" si="1"/>
        <v>1358.8300000000002</v>
      </c>
      <c r="T59" s="219">
        <f t="shared" si="1"/>
        <v>37.36</v>
      </c>
    </row>
    <row r="60" spans="1:20" x14ac:dyDescent="0.2">
      <c r="A60" s="376">
        <v>14170</v>
      </c>
      <c r="B60" s="376" t="s">
        <v>128</v>
      </c>
      <c r="C60" s="376" t="s">
        <v>127</v>
      </c>
      <c r="D60" s="404" t="s">
        <v>4</v>
      </c>
      <c r="E60" s="390"/>
      <c r="F60" s="81">
        <v>16474.36</v>
      </c>
      <c r="G60" s="81">
        <v>15853.42</v>
      </c>
      <c r="H60" s="81">
        <v>620.94000000000005</v>
      </c>
      <c r="I60" s="100"/>
      <c r="J60" s="81">
        <v>155.38</v>
      </c>
      <c r="K60" s="81">
        <v>155.38</v>
      </c>
      <c r="L60" s="81">
        <v>0</v>
      </c>
      <c r="M60" s="100"/>
      <c r="N60" s="81">
        <v>831.65</v>
      </c>
      <c r="O60" s="81">
        <v>814.25</v>
      </c>
      <c r="P60" s="81">
        <v>17.399999999999999</v>
      </c>
      <c r="R60" s="219">
        <f t="shared" si="1"/>
        <v>17461.390000000003</v>
      </c>
      <c r="S60" s="219">
        <f t="shared" si="1"/>
        <v>16823.05</v>
      </c>
      <c r="T60" s="219">
        <f t="shared" si="1"/>
        <v>638.34</v>
      </c>
    </row>
    <row r="61" spans="1:20" x14ac:dyDescent="0.2">
      <c r="A61" s="376">
        <v>14200</v>
      </c>
      <c r="B61" s="376" t="s">
        <v>194</v>
      </c>
      <c r="C61" s="376" t="s">
        <v>125</v>
      </c>
      <c r="D61" s="404" t="s">
        <v>2</v>
      </c>
      <c r="E61" s="390"/>
      <c r="F61" s="81">
        <v>4000</v>
      </c>
      <c r="G61" s="81">
        <v>3999.6</v>
      </c>
      <c r="H61" s="81">
        <v>0.4</v>
      </c>
      <c r="I61" s="100"/>
      <c r="J61" s="81">
        <v>222.75</v>
      </c>
      <c r="K61" s="81">
        <v>222.75</v>
      </c>
      <c r="L61" s="81">
        <v>0</v>
      </c>
      <c r="M61" s="100"/>
      <c r="N61" s="81">
        <v>14.91</v>
      </c>
      <c r="O61" s="81">
        <v>14.91</v>
      </c>
      <c r="P61" s="81">
        <v>0</v>
      </c>
      <c r="R61" s="219">
        <f t="shared" si="1"/>
        <v>4237.66</v>
      </c>
      <c r="S61" s="219">
        <f t="shared" si="1"/>
        <v>4237.26</v>
      </c>
      <c r="T61" s="219">
        <f t="shared" si="1"/>
        <v>0.4</v>
      </c>
    </row>
    <row r="62" spans="1:20" x14ac:dyDescent="0.2">
      <c r="A62" s="376">
        <v>14300</v>
      </c>
      <c r="B62" s="376" t="s">
        <v>196</v>
      </c>
      <c r="C62" s="376" t="s">
        <v>142</v>
      </c>
      <c r="D62" s="404" t="s">
        <v>2</v>
      </c>
      <c r="E62" s="390"/>
      <c r="F62" s="81">
        <v>422</v>
      </c>
      <c r="G62" s="81">
        <v>338</v>
      </c>
      <c r="H62" s="81">
        <v>84</v>
      </c>
      <c r="I62" s="100"/>
      <c r="J62" s="81">
        <v>407.4</v>
      </c>
      <c r="K62" s="81">
        <v>347.4</v>
      </c>
      <c r="L62" s="81">
        <v>60</v>
      </c>
      <c r="M62" s="100"/>
      <c r="N62" s="81">
        <v>0</v>
      </c>
      <c r="O62" s="81">
        <v>0</v>
      </c>
      <c r="P62" s="81">
        <v>0</v>
      </c>
      <c r="R62" s="219">
        <f t="shared" si="1"/>
        <v>829.4</v>
      </c>
      <c r="S62" s="219">
        <f t="shared" si="1"/>
        <v>685.4</v>
      </c>
      <c r="T62" s="219">
        <f t="shared" si="1"/>
        <v>144</v>
      </c>
    </row>
    <row r="63" spans="1:20" x14ac:dyDescent="0.2">
      <c r="A63" s="376">
        <v>14350</v>
      </c>
      <c r="B63" s="376" t="s">
        <v>197</v>
      </c>
      <c r="C63" s="376" t="s">
        <v>294</v>
      </c>
      <c r="D63" s="404" t="s">
        <v>5</v>
      </c>
      <c r="E63" s="390"/>
      <c r="F63" s="81">
        <v>2893.76</v>
      </c>
      <c r="G63" s="81">
        <v>2685.66</v>
      </c>
      <c r="H63" s="81">
        <v>208.1</v>
      </c>
      <c r="I63" s="100"/>
      <c r="J63" s="81">
        <v>1773.91</v>
      </c>
      <c r="K63" s="81">
        <v>1714.6100000000001</v>
      </c>
      <c r="L63" s="81">
        <v>59.3</v>
      </c>
      <c r="M63" s="100"/>
      <c r="N63" s="81">
        <v>0</v>
      </c>
      <c r="O63" s="81">
        <v>0</v>
      </c>
      <c r="P63" s="81">
        <v>0</v>
      </c>
      <c r="R63" s="219">
        <f t="shared" si="1"/>
        <v>4667.67</v>
      </c>
      <c r="S63" s="219">
        <f t="shared" si="1"/>
        <v>4400.2700000000004</v>
      </c>
      <c r="T63" s="219">
        <f t="shared" si="1"/>
        <v>267.39999999999998</v>
      </c>
    </row>
    <row r="64" spans="1:20" x14ac:dyDescent="0.2">
      <c r="A64" s="376">
        <v>14400</v>
      </c>
      <c r="B64" s="376" t="s">
        <v>198</v>
      </c>
      <c r="C64" s="376" t="s">
        <v>291</v>
      </c>
      <c r="D64" s="404" t="s">
        <v>3</v>
      </c>
      <c r="E64" s="390"/>
      <c r="F64" s="81">
        <v>2840.07</v>
      </c>
      <c r="G64" s="81">
        <v>2716.24</v>
      </c>
      <c r="H64" s="81">
        <v>123.83</v>
      </c>
      <c r="I64" s="100"/>
      <c r="J64" s="81">
        <v>600</v>
      </c>
      <c r="K64" s="81">
        <v>600</v>
      </c>
      <c r="L64" s="81">
        <v>0</v>
      </c>
      <c r="M64" s="100"/>
      <c r="N64" s="81">
        <v>0</v>
      </c>
      <c r="O64" s="81">
        <v>0</v>
      </c>
      <c r="P64" s="81">
        <v>0</v>
      </c>
      <c r="R64" s="219">
        <f t="shared" si="1"/>
        <v>3440.07</v>
      </c>
      <c r="S64" s="219">
        <f t="shared" si="1"/>
        <v>3316.24</v>
      </c>
      <c r="T64" s="219">
        <f t="shared" si="1"/>
        <v>123.83</v>
      </c>
    </row>
    <row r="65" spans="1:20" x14ac:dyDescent="0.2">
      <c r="A65" s="376">
        <v>14500</v>
      </c>
      <c r="B65" s="376" t="s">
        <v>199</v>
      </c>
      <c r="C65" s="376" t="s">
        <v>190</v>
      </c>
      <c r="D65" s="404" t="s">
        <v>4</v>
      </c>
      <c r="E65" s="390"/>
      <c r="F65" s="81">
        <v>12281.34</v>
      </c>
      <c r="G65" s="81">
        <v>11776.58</v>
      </c>
      <c r="H65" s="81">
        <v>504.76</v>
      </c>
      <c r="I65" s="100"/>
      <c r="J65" s="81">
        <v>27.5</v>
      </c>
      <c r="K65" s="81">
        <v>27.5</v>
      </c>
      <c r="L65" s="81">
        <v>0</v>
      </c>
      <c r="M65" s="100"/>
      <c r="N65" s="81">
        <v>91.33</v>
      </c>
      <c r="O65" s="81">
        <v>91.33</v>
      </c>
      <c r="P65" s="81">
        <v>0</v>
      </c>
      <c r="R65" s="219">
        <f t="shared" si="1"/>
        <v>12400.17</v>
      </c>
      <c r="S65" s="219">
        <f t="shared" si="1"/>
        <v>11895.41</v>
      </c>
      <c r="T65" s="219">
        <f t="shared" si="1"/>
        <v>504.76</v>
      </c>
    </row>
    <row r="66" spans="1:20" x14ac:dyDescent="0.2">
      <c r="A66" s="376">
        <v>14550</v>
      </c>
      <c r="B66" s="376" t="s">
        <v>200</v>
      </c>
      <c r="C66" s="376" t="s">
        <v>131</v>
      </c>
      <c r="D66" s="404" t="s">
        <v>5</v>
      </c>
      <c r="E66" s="390"/>
      <c r="F66" s="81">
        <v>439.03</v>
      </c>
      <c r="G66" s="81">
        <v>420.77</v>
      </c>
      <c r="H66" s="81">
        <v>18.260000000000002</v>
      </c>
      <c r="I66" s="100"/>
      <c r="J66" s="81">
        <v>1593.52</v>
      </c>
      <c r="K66" s="81">
        <v>1593.52</v>
      </c>
      <c r="L66" s="81">
        <v>0</v>
      </c>
      <c r="M66" s="100"/>
      <c r="N66" s="81">
        <v>0</v>
      </c>
      <c r="O66" s="81">
        <v>0</v>
      </c>
      <c r="P66" s="81">
        <v>0</v>
      </c>
      <c r="R66" s="219">
        <f t="shared" si="1"/>
        <v>2032.55</v>
      </c>
      <c r="S66" s="219">
        <f t="shared" si="1"/>
        <v>2014.29</v>
      </c>
      <c r="T66" s="219">
        <f t="shared" si="1"/>
        <v>18.260000000000002</v>
      </c>
    </row>
    <row r="67" spans="1:20" x14ac:dyDescent="0.2">
      <c r="A67" s="376">
        <v>14600</v>
      </c>
      <c r="B67" s="376" t="s">
        <v>201</v>
      </c>
      <c r="C67" s="376" t="s">
        <v>293</v>
      </c>
      <c r="D67" s="404" t="s">
        <v>2</v>
      </c>
      <c r="E67" s="390"/>
      <c r="F67" s="81">
        <v>58</v>
      </c>
      <c r="G67" s="81">
        <v>55.59</v>
      </c>
      <c r="H67" s="81">
        <v>2.41</v>
      </c>
      <c r="I67" s="100"/>
      <c r="J67" s="81">
        <v>0</v>
      </c>
      <c r="K67" s="81">
        <v>0</v>
      </c>
      <c r="L67" s="81">
        <v>0</v>
      </c>
      <c r="M67" s="100"/>
      <c r="N67" s="81">
        <v>0</v>
      </c>
      <c r="O67" s="81">
        <v>0</v>
      </c>
      <c r="P67" s="81">
        <v>0</v>
      </c>
      <c r="R67" s="219">
        <f t="shared" si="1"/>
        <v>58</v>
      </c>
      <c r="S67" s="219">
        <f t="shared" si="1"/>
        <v>55.59</v>
      </c>
      <c r="T67" s="219">
        <f t="shared" si="1"/>
        <v>2.41</v>
      </c>
    </row>
    <row r="68" spans="1:20" x14ac:dyDescent="0.2">
      <c r="A68" s="376">
        <v>14650</v>
      </c>
      <c r="B68" s="376" t="s">
        <v>202</v>
      </c>
      <c r="C68" s="376" t="s">
        <v>163</v>
      </c>
      <c r="D68" s="404" t="s">
        <v>3</v>
      </c>
      <c r="E68" s="390"/>
      <c r="F68" s="81">
        <v>19236</v>
      </c>
      <c r="G68" s="81">
        <v>18832</v>
      </c>
      <c r="H68" s="81">
        <v>404</v>
      </c>
      <c r="I68" s="100"/>
      <c r="J68" s="81">
        <v>2692.1200000000003</v>
      </c>
      <c r="K68" s="81">
        <v>2692.1200000000003</v>
      </c>
      <c r="L68" s="81">
        <v>0</v>
      </c>
      <c r="M68" s="100"/>
      <c r="N68" s="81">
        <v>261.24</v>
      </c>
      <c r="O68" s="81">
        <v>261.24</v>
      </c>
      <c r="P68" s="81">
        <v>0</v>
      </c>
      <c r="R68" s="219">
        <f t="shared" si="1"/>
        <v>22189.360000000001</v>
      </c>
      <c r="S68" s="219">
        <f t="shared" si="1"/>
        <v>21785.360000000001</v>
      </c>
      <c r="T68" s="219">
        <f t="shared" si="1"/>
        <v>404</v>
      </c>
    </row>
    <row r="69" spans="1:20" x14ac:dyDescent="0.2">
      <c r="A69" s="376">
        <v>14700</v>
      </c>
      <c r="B69" s="376" t="s">
        <v>203</v>
      </c>
      <c r="C69" s="376" t="s">
        <v>190</v>
      </c>
      <c r="D69" s="404" t="s">
        <v>4</v>
      </c>
      <c r="E69" s="390"/>
      <c r="F69" s="81">
        <v>2943</v>
      </c>
      <c r="G69" s="81">
        <v>2823</v>
      </c>
      <c r="H69" s="81">
        <v>120</v>
      </c>
      <c r="I69" s="100"/>
      <c r="J69" s="81">
        <v>55</v>
      </c>
      <c r="K69" s="81">
        <v>55</v>
      </c>
      <c r="L69" s="81">
        <v>0</v>
      </c>
      <c r="M69" s="100"/>
      <c r="N69" s="81">
        <v>94</v>
      </c>
      <c r="O69" s="81">
        <v>89.3</v>
      </c>
      <c r="P69" s="81">
        <v>4.7</v>
      </c>
      <c r="R69" s="219">
        <f t="shared" si="1"/>
        <v>3092</v>
      </c>
      <c r="S69" s="219">
        <f t="shared" si="1"/>
        <v>2967.3</v>
      </c>
      <c r="T69" s="219">
        <f t="shared" si="1"/>
        <v>124.7</v>
      </c>
    </row>
    <row r="70" spans="1:20" x14ac:dyDescent="0.2">
      <c r="A70" s="376">
        <v>14750</v>
      </c>
      <c r="B70" s="376" t="s">
        <v>204</v>
      </c>
      <c r="C70" s="376" t="s">
        <v>705</v>
      </c>
      <c r="D70" s="404" t="s">
        <v>2</v>
      </c>
      <c r="E70" s="390"/>
      <c r="F70" s="81">
        <v>642</v>
      </c>
      <c r="G70" s="81">
        <v>613.1</v>
      </c>
      <c r="H70" s="81">
        <v>28.9</v>
      </c>
      <c r="I70" s="100"/>
      <c r="J70" s="81">
        <v>56.2</v>
      </c>
      <c r="K70" s="81">
        <v>41</v>
      </c>
      <c r="L70" s="81">
        <v>15.2</v>
      </c>
      <c r="M70" s="100"/>
      <c r="N70" s="81">
        <v>0</v>
      </c>
      <c r="O70" s="81">
        <v>0</v>
      </c>
      <c r="P70" s="81">
        <v>0</v>
      </c>
      <c r="R70" s="219">
        <f t="shared" ref="R70:T132" si="2">F70+J70+N70</f>
        <v>698.2</v>
      </c>
      <c r="S70" s="219">
        <f t="shared" si="2"/>
        <v>654.1</v>
      </c>
      <c r="T70" s="219">
        <f t="shared" si="2"/>
        <v>44.099999999999994</v>
      </c>
    </row>
    <row r="71" spans="1:20" x14ac:dyDescent="0.2">
      <c r="A71" s="376">
        <v>14850</v>
      </c>
      <c r="B71" s="376" t="s">
        <v>205</v>
      </c>
      <c r="C71" s="376" t="s">
        <v>131</v>
      </c>
      <c r="D71" s="404" t="s">
        <v>5</v>
      </c>
      <c r="E71" s="390"/>
      <c r="F71" s="81">
        <v>5285</v>
      </c>
      <c r="G71" s="81">
        <v>5157.1000000000004</v>
      </c>
      <c r="H71" s="81">
        <v>127.9</v>
      </c>
      <c r="I71" s="100"/>
      <c r="J71" s="81">
        <v>3608</v>
      </c>
      <c r="K71" s="81">
        <v>3608</v>
      </c>
      <c r="L71" s="81">
        <v>0</v>
      </c>
      <c r="M71" s="100"/>
      <c r="N71" s="81">
        <v>0</v>
      </c>
      <c r="O71" s="81">
        <v>0</v>
      </c>
      <c r="P71" s="81">
        <v>0</v>
      </c>
      <c r="R71" s="219">
        <f t="shared" si="2"/>
        <v>8893</v>
      </c>
      <c r="S71" s="219">
        <f t="shared" si="2"/>
        <v>8765.1</v>
      </c>
      <c r="T71" s="219">
        <f t="shared" si="2"/>
        <v>127.9</v>
      </c>
    </row>
    <row r="72" spans="1:20" x14ac:dyDescent="0.2">
      <c r="A72" s="376">
        <v>14870</v>
      </c>
      <c r="B72" s="376" t="s">
        <v>206</v>
      </c>
      <c r="C72" s="376" t="s">
        <v>293</v>
      </c>
      <c r="D72" s="404" t="s">
        <v>2</v>
      </c>
      <c r="E72" s="390"/>
      <c r="F72" s="81">
        <v>1453</v>
      </c>
      <c r="G72" s="81">
        <v>1280</v>
      </c>
      <c r="H72" s="81">
        <v>173</v>
      </c>
      <c r="I72" s="100"/>
      <c r="J72" s="81">
        <v>120</v>
      </c>
      <c r="K72" s="81">
        <v>120</v>
      </c>
      <c r="L72" s="81">
        <v>0</v>
      </c>
      <c r="M72" s="100"/>
      <c r="N72" s="81">
        <v>0</v>
      </c>
      <c r="O72" s="81">
        <v>0</v>
      </c>
      <c r="P72" s="81">
        <v>0</v>
      </c>
      <c r="R72" s="219">
        <f t="shared" si="2"/>
        <v>1573</v>
      </c>
      <c r="S72" s="219">
        <f t="shared" si="2"/>
        <v>1400</v>
      </c>
      <c r="T72" s="219">
        <f t="shared" si="2"/>
        <v>173</v>
      </c>
    </row>
    <row r="73" spans="1:20" x14ac:dyDescent="0.2">
      <c r="A73" s="376">
        <v>14900</v>
      </c>
      <c r="B73" s="376" t="s">
        <v>207</v>
      </c>
      <c r="C73" s="376" t="s">
        <v>129</v>
      </c>
      <c r="D73" s="404" t="s">
        <v>4</v>
      </c>
      <c r="E73" s="390"/>
      <c r="F73" s="81">
        <v>16503</v>
      </c>
      <c r="G73" s="81">
        <v>13202</v>
      </c>
      <c r="H73" s="81">
        <v>3301</v>
      </c>
      <c r="I73" s="100"/>
      <c r="J73" s="81">
        <v>128.26</v>
      </c>
      <c r="K73" s="81">
        <v>128.26</v>
      </c>
      <c r="L73" s="81">
        <v>0</v>
      </c>
      <c r="M73" s="100"/>
      <c r="N73" s="81">
        <v>850</v>
      </c>
      <c r="O73" s="81">
        <v>850</v>
      </c>
      <c r="P73" s="81">
        <v>0</v>
      </c>
      <c r="R73" s="219">
        <f t="shared" si="2"/>
        <v>17481.259999999998</v>
      </c>
      <c r="S73" s="219">
        <f t="shared" si="2"/>
        <v>14180.26</v>
      </c>
      <c r="T73" s="219">
        <f t="shared" si="2"/>
        <v>3301</v>
      </c>
    </row>
    <row r="74" spans="1:20" x14ac:dyDescent="0.2">
      <c r="A74" s="376">
        <v>14920</v>
      </c>
      <c r="B74" s="376" t="s">
        <v>208</v>
      </c>
      <c r="C74" s="376" t="s">
        <v>125</v>
      </c>
      <c r="D74" s="404" t="s">
        <v>2</v>
      </c>
      <c r="E74" s="390"/>
      <c r="F74" s="81">
        <v>500</v>
      </c>
      <c r="G74" s="81">
        <v>475</v>
      </c>
      <c r="H74" s="81">
        <v>25</v>
      </c>
      <c r="I74" s="100"/>
      <c r="J74" s="81">
        <v>415.66</v>
      </c>
      <c r="K74" s="81">
        <v>395.66</v>
      </c>
      <c r="L74" s="81">
        <v>20</v>
      </c>
      <c r="M74" s="100"/>
      <c r="N74" s="81">
        <v>0</v>
      </c>
      <c r="O74" s="81">
        <v>0</v>
      </c>
      <c r="P74" s="81">
        <v>0</v>
      </c>
      <c r="R74" s="219">
        <f t="shared" si="2"/>
        <v>915.66000000000008</v>
      </c>
      <c r="S74" s="219">
        <f t="shared" si="2"/>
        <v>870.66000000000008</v>
      </c>
      <c r="T74" s="219">
        <f t="shared" si="2"/>
        <v>45</v>
      </c>
    </row>
    <row r="75" spans="1:20" x14ac:dyDescent="0.2">
      <c r="A75" s="376">
        <v>14950</v>
      </c>
      <c r="B75" s="376" t="s">
        <v>209</v>
      </c>
      <c r="C75" s="376" t="s">
        <v>142</v>
      </c>
      <c r="D75" s="404" t="s">
        <v>2</v>
      </c>
      <c r="E75" s="390"/>
      <c r="F75" s="81">
        <v>211.73</v>
      </c>
      <c r="G75" s="81">
        <v>202.92</v>
      </c>
      <c r="H75" s="81">
        <v>8.81</v>
      </c>
      <c r="I75" s="100"/>
      <c r="J75" s="81">
        <v>47.4</v>
      </c>
      <c r="K75" s="81">
        <v>47.4</v>
      </c>
      <c r="L75" s="81">
        <v>0</v>
      </c>
      <c r="M75" s="100"/>
      <c r="N75" s="81">
        <v>158.82</v>
      </c>
      <c r="O75" s="81">
        <v>158.82</v>
      </c>
      <c r="P75" s="81">
        <v>0</v>
      </c>
      <c r="R75" s="219">
        <f t="shared" si="2"/>
        <v>417.95</v>
      </c>
      <c r="S75" s="219">
        <f t="shared" si="2"/>
        <v>409.14</v>
      </c>
      <c r="T75" s="219">
        <f t="shared" si="2"/>
        <v>8.81</v>
      </c>
    </row>
    <row r="76" spans="1:20" x14ac:dyDescent="0.2">
      <c r="A76" s="376">
        <v>15050</v>
      </c>
      <c r="B76" s="376" t="s">
        <v>210</v>
      </c>
      <c r="C76" s="376" t="s">
        <v>163</v>
      </c>
      <c r="D76" s="404" t="s">
        <v>3</v>
      </c>
      <c r="E76" s="390"/>
      <c r="F76" s="81">
        <v>6849</v>
      </c>
      <c r="G76" s="81">
        <v>6706</v>
      </c>
      <c r="H76" s="81">
        <v>143</v>
      </c>
      <c r="I76" s="100"/>
      <c r="J76" s="81">
        <v>2248</v>
      </c>
      <c r="K76" s="81">
        <v>2248</v>
      </c>
      <c r="L76" s="81">
        <v>0</v>
      </c>
      <c r="M76" s="100"/>
      <c r="N76" s="81">
        <v>0</v>
      </c>
      <c r="O76" s="81">
        <v>0</v>
      </c>
      <c r="P76" s="81">
        <v>0</v>
      </c>
      <c r="R76" s="219">
        <f t="shared" si="2"/>
        <v>9097</v>
      </c>
      <c r="S76" s="219">
        <f t="shared" si="2"/>
        <v>8954</v>
      </c>
      <c r="T76" s="219">
        <f t="shared" si="2"/>
        <v>143</v>
      </c>
    </row>
    <row r="77" spans="1:20" x14ac:dyDescent="0.2">
      <c r="A77" s="376">
        <v>15240</v>
      </c>
      <c r="B77" s="376" t="s">
        <v>180</v>
      </c>
      <c r="C77" s="376" t="s">
        <v>294</v>
      </c>
      <c r="D77" s="404" t="s">
        <v>5</v>
      </c>
      <c r="E77" s="390"/>
      <c r="F77" s="81">
        <v>10648</v>
      </c>
      <c r="G77" s="81">
        <v>9781.36</v>
      </c>
      <c r="H77" s="81">
        <v>866.64</v>
      </c>
      <c r="I77" s="100"/>
      <c r="J77" s="81">
        <v>7152.31</v>
      </c>
      <c r="K77" s="81">
        <v>7152.31</v>
      </c>
      <c r="L77" s="81">
        <v>0</v>
      </c>
      <c r="M77" s="100"/>
      <c r="N77" s="81">
        <v>794.28</v>
      </c>
      <c r="O77" s="81">
        <v>794.28</v>
      </c>
      <c r="P77" s="81">
        <v>0</v>
      </c>
      <c r="R77" s="219">
        <f t="shared" si="2"/>
        <v>18594.59</v>
      </c>
      <c r="S77" s="219">
        <f t="shared" si="2"/>
        <v>17727.95</v>
      </c>
      <c r="T77" s="219">
        <f t="shared" si="2"/>
        <v>866.64</v>
      </c>
    </row>
    <row r="78" spans="1:20" x14ac:dyDescent="0.2">
      <c r="A78" s="376">
        <v>15270</v>
      </c>
      <c r="B78" s="376" t="s">
        <v>212</v>
      </c>
      <c r="C78" s="376" t="s">
        <v>293</v>
      </c>
      <c r="D78" s="404" t="s">
        <v>2</v>
      </c>
      <c r="E78" s="390"/>
      <c r="F78" s="81">
        <v>1144.6600000000001</v>
      </c>
      <c r="G78" s="81">
        <v>983.36</v>
      </c>
      <c r="H78" s="81">
        <v>161.30000000000001</v>
      </c>
      <c r="I78" s="100"/>
      <c r="J78" s="81">
        <v>236.1</v>
      </c>
      <c r="K78" s="81">
        <v>182.04</v>
      </c>
      <c r="L78" s="81">
        <v>54.06</v>
      </c>
      <c r="M78" s="100"/>
      <c r="N78" s="81">
        <v>0</v>
      </c>
      <c r="O78" s="81">
        <v>0</v>
      </c>
      <c r="P78" s="81">
        <v>0</v>
      </c>
      <c r="R78" s="219">
        <f t="shared" si="2"/>
        <v>1380.76</v>
      </c>
      <c r="S78" s="219">
        <f t="shared" si="2"/>
        <v>1165.4000000000001</v>
      </c>
      <c r="T78" s="219">
        <f t="shared" si="2"/>
        <v>215.36</v>
      </c>
    </row>
    <row r="79" spans="1:20" x14ac:dyDescent="0.2">
      <c r="A79" s="376">
        <v>15300</v>
      </c>
      <c r="B79" s="376" t="s">
        <v>213</v>
      </c>
      <c r="C79" s="376" t="s">
        <v>125</v>
      </c>
      <c r="D79" s="404" t="s">
        <v>2</v>
      </c>
      <c r="E79" s="390"/>
      <c r="F79" s="81">
        <v>994.67</v>
      </c>
      <c r="G79" s="81">
        <v>953.29</v>
      </c>
      <c r="H79" s="81">
        <v>41.38</v>
      </c>
      <c r="I79" s="100"/>
      <c r="J79" s="81">
        <v>0</v>
      </c>
      <c r="K79" s="81">
        <v>0</v>
      </c>
      <c r="L79" s="81">
        <v>0</v>
      </c>
      <c r="M79" s="100"/>
      <c r="N79" s="81">
        <v>0</v>
      </c>
      <c r="O79" s="81">
        <v>0</v>
      </c>
      <c r="P79" s="81">
        <v>0</v>
      </c>
      <c r="R79" s="219">
        <f t="shared" si="2"/>
        <v>994.67</v>
      </c>
      <c r="S79" s="219">
        <f t="shared" si="2"/>
        <v>953.29</v>
      </c>
      <c r="T79" s="219">
        <f t="shared" si="2"/>
        <v>41.38</v>
      </c>
    </row>
    <row r="80" spans="1:20" x14ac:dyDescent="0.2">
      <c r="A80" s="376">
        <v>15350</v>
      </c>
      <c r="B80" s="376" t="s">
        <v>214</v>
      </c>
      <c r="C80" s="376" t="s">
        <v>190</v>
      </c>
      <c r="D80" s="404" t="s">
        <v>4</v>
      </c>
      <c r="E80" s="390"/>
      <c r="F80" s="81">
        <v>2764</v>
      </c>
      <c r="G80" s="81">
        <v>2680</v>
      </c>
      <c r="H80" s="81">
        <v>84</v>
      </c>
      <c r="I80" s="100"/>
      <c r="J80" s="81">
        <v>65</v>
      </c>
      <c r="K80" s="81">
        <v>64</v>
      </c>
      <c r="L80" s="81">
        <v>1</v>
      </c>
      <c r="M80" s="100"/>
      <c r="N80" s="81">
        <v>90</v>
      </c>
      <c r="O80" s="81">
        <v>89</v>
      </c>
      <c r="P80" s="81">
        <v>1</v>
      </c>
      <c r="R80" s="219">
        <f t="shared" si="2"/>
        <v>2919</v>
      </c>
      <c r="S80" s="219">
        <f t="shared" si="2"/>
        <v>2833</v>
      </c>
      <c r="T80" s="219">
        <f t="shared" si="2"/>
        <v>86</v>
      </c>
    </row>
    <row r="81" spans="1:20" x14ac:dyDescent="0.2">
      <c r="A81" s="376">
        <v>15520</v>
      </c>
      <c r="B81" s="376" t="s">
        <v>215</v>
      </c>
      <c r="C81" s="376" t="s">
        <v>703</v>
      </c>
      <c r="D81" s="404" t="s">
        <v>2</v>
      </c>
      <c r="E81" s="390"/>
      <c r="F81" s="81">
        <v>1209</v>
      </c>
      <c r="G81" s="81">
        <v>1149</v>
      </c>
      <c r="H81" s="81">
        <v>60</v>
      </c>
      <c r="I81" s="100"/>
      <c r="J81" s="81">
        <v>0</v>
      </c>
      <c r="K81" s="81">
        <v>0</v>
      </c>
      <c r="L81" s="81">
        <v>0</v>
      </c>
      <c r="M81" s="100"/>
      <c r="N81" s="81">
        <v>0</v>
      </c>
      <c r="O81" s="81">
        <v>0</v>
      </c>
      <c r="P81" s="81">
        <v>0</v>
      </c>
      <c r="R81" s="219">
        <f t="shared" si="2"/>
        <v>1209</v>
      </c>
      <c r="S81" s="219">
        <f t="shared" si="2"/>
        <v>1149</v>
      </c>
      <c r="T81" s="219">
        <f t="shared" si="2"/>
        <v>60</v>
      </c>
    </row>
    <row r="82" spans="1:20" x14ac:dyDescent="0.2">
      <c r="A82" s="376">
        <v>15560</v>
      </c>
      <c r="B82" s="376" t="s">
        <v>195</v>
      </c>
      <c r="C82" s="376" t="s">
        <v>705</v>
      </c>
      <c r="D82" s="404" t="s">
        <v>2</v>
      </c>
      <c r="E82" s="390"/>
      <c r="F82" s="81">
        <v>485</v>
      </c>
      <c r="G82" s="81">
        <v>455</v>
      </c>
      <c r="H82" s="81">
        <v>30</v>
      </c>
      <c r="I82" s="100"/>
      <c r="J82" s="81">
        <v>0</v>
      </c>
      <c r="K82" s="81">
        <v>0</v>
      </c>
      <c r="L82" s="81">
        <v>0</v>
      </c>
      <c r="M82" s="100"/>
      <c r="N82" s="81">
        <v>0</v>
      </c>
      <c r="O82" s="81">
        <v>0</v>
      </c>
      <c r="P82" s="81">
        <v>0</v>
      </c>
      <c r="R82" s="219">
        <f t="shared" si="2"/>
        <v>485</v>
      </c>
      <c r="S82" s="219">
        <f t="shared" si="2"/>
        <v>455</v>
      </c>
      <c r="T82" s="219">
        <f t="shared" si="2"/>
        <v>30</v>
      </c>
    </row>
    <row r="83" spans="1:20" x14ac:dyDescent="0.2">
      <c r="A83" s="376">
        <v>15650</v>
      </c>
      <c r="B83" s="376" t="s">
        <v>216</v>
      </c>
      <c r="C83" s="376" t="s">
        <v>163</v>
      </c>
      <c r="D83" s="404" t="s">
        <v>5</v>
      </c>
      <c r="E83" s="390"/>
      <c r="F83" s="81">
        <v>1270.01</v>
      </c>
      <c r="G83" s="81">
        <v>612.61</v>
      </c>
      <c r="H83" s="81">
        <v>657.4</v>
      </c>
      <c r="I83" s="100"/>
      <c r="J83" s="81">
        <v>107.66000000000001</v>
      </c>
      <c r="K83" s="81">
        <v>107.66000000000001</v>
      </c>
      <c r="L83" s="81">
        <v>0</v>
      </c>
      <c r="M83" s="100"/>
      <c r="N83" s="81">
        <v>106.64</v>
      </c>
      <c r="O83" s="81">
        <v>106.64</v>
      </c>
      <c r="P83" s="81">
        <v>0</v>
      </c>
      <c r="R83" s="219">
        <f t="shared" si="2"/>
        <v>1484.3100000000002</v>
      </c>
      <c r="S83" s="219">
        <f t="shared" si="2"/>
        <v>826.91</v>
      </c>
      <c r="T83" s="219">
        <f t="shared" si="2"/>
        <v>657.4</v>
      </c>
    </row>
    <row r="84" spans="1:20" x14ac:dyDescent="0.2">
      <c r="A84" s="376">
        <v>15700</v>
      </c>
      <c r="B84" s="376" t="s">
        <v>217</v>
      </c>
      <c r="C84" s="376" t="s">
        <v>294</v>
      </c>
      <c r="D84" s="404" t="s">
        <v>5</v>
      </c>
      <c r="E84" s="390"/>
      <c r="F84" s="81">
        <v>2130.7600000000002</v>
      </c>
      <c r="G84" s="81">
        <v>1917.76</v>
      </c>
      <c r="H84" s="81">
        <v>213</v>
      </c>
      <c r="I84" s="100"/>
      <c r="J84" s="81">
        <v>1017.5800000000002</v>
      </c>
      <c r="K84" s="81">
        <v>1017.5800000000002</v>
      </c>
      <c r="L84" s="81">
        <v>0</v>
      </c>
      <c r="M84" s="100"/>
      <c r="N84" s="81">
        <v>0</v>
      </c>
      <c r="O84" s="81">
        <v>0</v>
      </c>
      <c r="P84" s="81">
        <v>0</v>
      </c>
      <c r="R84" s="219">
        <f t="shared" si="2"/>
        <v>3148.34</v>
      </c>
      <c r="S84" s="219">
        <f t="shared" si="2"/>
        <v>2935.34</v>
      </c>
      <c r="T84" s="219">
        <f t="shared" si="2"/>
        <v>213</v>
      </c>
    </row>
    <row r="85" spans="1:20" x14ac:dyDescent="0.2">
      <c r="A85" s="376">
        <v>15750</v>
      </c>
      <c r="B85" s="376" t="s">
        <v>218</v>
      </c>
      <c r="C85" s="376" t="s">
        <v>125</v>
      </c>
      <c r="D85" s="404" t="s">
        <v>2</v>
      </c>
      <c r="E85" s="390"/>
      <c r="F85" s="81">
        <v>588.6</v>
      </c>
      <c r="G85" s="81">
        <v>530.6</v>
      </c>
      <c r="H85" s="81">
        <v>58</v>
      </c>
      <c r="I85" s="100"/>
      <c r="J85" s="81">
        <v>572.22</v>
      </c>
      <c r="K85" s="81">
        <v>572.22</v>
      </c>
      <c r="L85" s="81">
        <v>0</v>
      </c>
      <c r="M85" s="100"/>
      <c r="N85" s="81">
        <v>0</v>
      </c>
      <c r="O85" s="81">
        <v>0</v>
      </c>
      <c r="P85" s="81">
        <v>0</v>
      </c>
      <c r="R85" s="219">
        <f t="shared" si="2"/>
        <v>1160.8200000000002</v>
      </c>
      <c r="S85" s="219">
        <f t="shared" si="2"/>
        <v>1102.8200000000002</v>
      </c>
      <c r="T85" s="219">
        <f t="shared" si="2"/>
        <v>58</v>
      </c>
    </row>
    <row r="86" spans="1:20" x14ac:dyDescent="0.2">
      <c r="A86" s="376">
        <v>15800</v>
      </c>
      <c r="B86" s="376" t="s">
        <v>219</v>
      </c>
      <c r="C86" s="376" t="s">
        <v>705</v>
      </c>
      <c r="D86" s="404" t="s">
        <v>2</v>
      </c>
      <c r="E86" s="390"/>
      <c r="F86" s="81">
        <v>389</v>
      </c>
      <c r="G86" s="81">
        <v>372.82</v>
      </c>
      <c r="H86" s="81">
        <v>16.18</v>
      </c>
      <c r="I86" s="100"/>
      <c r="J86" s="81">
        <v>0</v>
      </c>
      <c r="K86" s="81">
        <v>0</v>
      </c>
      <c r="L86" s="81">
        <v>0</v>
      </c>
      <c r="M86" s="100"/>
      <c r="N86" s="81">
        <v>0</v>
      </c>
      <c r="O86" s="81">
        <v>0</v>
      </c>
      <c r="P86" s="81">
        <v>0</v>
      </c>
      <c r="R86" s="219">
        <f t="shared" si="2"/>
        <v>389</v>
      </c>
      <c r="S86" s="219">
        <f t="shared" si="2"/>
        <v>372.82</v>
      </c>
      <c r="T86" s="219">
        <f t="shared" si="2"/>
        <v>16.18</v>
      </c>
    </row>
    <row r="87" spans="1:20" x14ac:dyDescent="0.2">
      <c r="A87" s="376">
        <v>15850</v>
      </c>
      <c r="B87" s="376" t="s">
        <v>220</v>
      </c>
      <c r="C87" s="376" t="s">
        <v>293</v>
      </c>
      <c r="D87" s="404" t="s">
        <v>2</v>
      </c>
      <c r="E87" s="390"/>
      <c r="F87" s="81">
        <v>568</v>
      </c>
      <c r="G87" s="81">
        <v>519.5</v>
      </c>
      <c r="H87" s="81">
        <v>48.5</v>
      </c>
      <c r="I87" s="100"/>
      <c r="J87" s="81">
        <v>470</v>
      </c>
      <c r="K87" s="81">
        <v>470</v>
      </c>
      <c r="L87" s="81">
        <v>0</v>
      </c>
      <c r="M87" s="100"/>
      <c r="N87" s="81">
        <v>0</v>
      </c>
      <c r="O87" s="81">
        <v>0</v>
      </c>
      <c r="P87" s="81">
        <v>0</v>
      </c>
      <c r="R87" s="219">
        <f t="shared" si="2"/>
        <v>1038</v>
      </c>
      <c r="S87" s="219">
        <f t="shared" si="2"/>
        <v>989.5</v>
      </c>
      <c r="T87" s="219">
        <f t="shared" si="2"/>
        <v>48.5</v>
      </c>
    </row>
    <row r="88" spans="1:20" x14ac:dyDescent="0.2">
      <c r="A88" s="376">
        <v>15900</v>
      </c>
      <c r="B88" s="376" t="s">
        <v>221</v>
      </c>
      <c r="C88" s="376" t="s">
        <v>163</v>
      </c>
      <c r="D88" s="404" t="s">
        <v>3</v>
      </c>
      <c r="E88" s="390"/>
      <c r="F88" s="81">
        <v>16449.400000000001</v>
      </c>
      <c r="G88" s="81">
        <v>15534.03</v>
      </c>
      <c r="H88" s="81">
        <v>915.37</v>
      </c>
      <c r="I88" s="100"/>
      <c r="J88" s="81">
        <v>797.51999999999987</v>
      </c>
      <c r="K88" s="81">
        <v>678.95999999999981</v>
      </c>
      <c r="L88" s="81">
        <v>118.56</v>
      </c>
      <c r="M88" s="100"/>
      <c r="N88" s="81">
        <v>0</v>
      </c>
      <c r="O88" s="81">
        <v>0</v>
      </c>
      <c r="P88" s="81">
        <v>0</v>
      </c>
      <c r="R88" s="219">
        <f t="shared" si="2"/>
        <v>17246.920000000002</v>
      </c>
      <c r="S88" s="219">
        <f t="shared" si="2"/>
        <v>16212.99</v>
      </c>
      <c r="T88" s="219">
        <f t="shared" si="2"/>
        <v>1033.93</v>
      </c>
    </row>
    <row r="89" spans="1:20" x14ac:dyDescent="0.2">
      <c r="A89" s="376">
        <v>15950</v>
      </c>
      <c r="B89" s="376" t="s">
        <v>222</v>
      </c>
      <c r="C89" s="376" t="s">
        <v>190</v>
      </c>
      <c r="D89" s="404" t="s">
        <v>4</v>
      </c>
      <c r="E89" s="390"/>
      <c r="F89" s="81">
        <v>6388.6</v>
      </c>
      <c r="G89" s="81">
        <v>5947.8</v>
      </c>
      <c r="H89" s="81">
        <v>440.8</v>
      </c>
      <c r="I89" s="100"/>
      <c r="J89" s="81">
        <v>0</v>
      </c>
      <c r="K89" s="81">
        <v>0</v>
      </c>
      <c r="L89" s="81">
        <v>0</v>
      </c>
      <c r="M89" s="100"/>
      <c r="N89" s="81">
        <v>12.4</v>
      </c>
      <c r="O89" s="81">
        <v>12.09</v>
      </c>
      <c r="P89" s="81">
        <v>0.31</v>
      </c>
      <c r="R89" s="219">
        <f t="shared" si="2"/>
        <v>6401</v>
      </c>
      <c r="S89" s="219">
        <f t="shared" si="2"/>
        <v>5959.89</v>
      </c>
      <c r="T89" s="219">
        <f t="shared" si="2"/>
        <v>441.11</v>
      </c>
    </row>
    <row r="90" spans="1:20" x14ac:dyDescent="0.2">
      <c r="A90" s="376">
        <v>15990</v>
      </c>
      <c r="B90" s="376" t="s">
        <v>211</v>
      </c>
      <c r="C90" s="376"/>
      <c r="D90" s="404" t="s">
        <v>4</v>
      </c>
      <c r="E90" s="390"/>
      <c r="F90" s="81">
        <v>29578</v>
      </c>
      <c r="G90" s="81">
        <v>27306.41</v>
      </c>
      <c r="H90" s="81">
        <v>2271.59</v>
      </c>
      <c r="I90" s="100"/>
      <c r="J90" s="81">
        <v>159</v>
      </c>
      <c r="K90" s="81">
        <v>159</v>
      </c>
      <c r="L90" s="81">
        <v>0</v>
      </c>
      <c r="M90" s="100"/>
      <c r="N90" s="81">
        <v>84</v>
      </c>
      <c r="O90" s="81">
        <v>84</v>
      </c>
      <c r="P90" s="81">
        <v>0</v>
      </c>
      <c r="R90" s="219">
        <f t="shared" si="2"/>
        <v>29821</v>
      </c>
      <c r="S90" s="219">
        <f t="shared" si="2"/>
        <v>27549.41</v>
      </c>
      <c r="T90" s="219">
        <f t="shared" si="2"/>
        <v>2271.59</v>
      </c>
    </row>
    <row r="91" spans="1:20" x14ac:dyDescent="0.2">
      <c r="A91" s="376">
        <v>16100</v>
      </c>
      <c r="B91" s="376" t="s">
        <v>223</v>
      </c>
      <c r="C91" s="376" t="s">
        <v>293</v>
      </c>
      <c r="D91" s="404" t="s">
        <v>2</v>
      </c>
      <c r="E91" s="390"/>
      <c r="F91" s="81">
        <v>0</v>
      </c>
      <c r="G91" s="81">
        <v>0</v>
      </c>
      <c r="H91" s="81">
        <v>0</v>
      </c>
      <c r="I91" s="100"/>
      <c r="J91" s="81">
        <v>412</v>
      </c>
      <c r="K91" s="81">
        <v>412</v>
      </c>
      <c r="L91" s="81">
        <v>0</v>
      </c>
      <c r="M91" s="100"/>
      <c r="N91" s="81">
        <v>50</v>
      </c>
      <c r="O91" s="81">
        <v>50</v>
      </c>
      <c r="P91" s="81">
        <v>0</v>
      </c>
      <c r="R91" s="219">
        <f t="shared" si="2"/>
        <v>462</v>
      </c>
      <c r="S91" s="219">
        <f t="shared" si="2"/>
        <v>462</v>
      </c>
      <c r="T91" s="219">
        <f t="shared" si="2"/>
        <v>0</v>
      </c>
    </row>
    <row r="92" spans="1:20" x14ac:dyDescent="0.2">
      <c r="A92" s="376">
        <v>16150</v>
      </c>
      <c r="B92" s="376" t="s">
        <v>224</v>
      </c>
      <c r="C92" s="376" t="s">
        <v>293</v>
      </c>
      <c r="D92" s="404" t="s">
        <v>2</v>
      </c>
      <c r="E92" s="390"/>
      <c r="F92" s="81">
        <v>3433.34</v>
      </c>
      <c r="G92" s="81">
        <v>3193.01</v>
      </c>
      <c r="H92" s="81">
        <v>240.33</v>
      </c>
      <c r="I92" s="100"/>
      <c r="J92" s="81">
        <v>2213.73</v>
      </c>
      <c r="K92" s="81">
        <v>2197.29</v>
      </c>
      <c r="L92" s="81">
        <v>16.440000000000001</v>
      </c>
      <c r="M92" s="100"/>
      <c r="N92" s="81">
        <v>0</v>
      </c>
      <c r="O92" s="81">
        <v>0</v>
      </c>
      <c r="P92" s="81">
        <v>0</v>
      </c>
      <c r="R92" s="219">
        <f t="shared" si="2"/>
        <v>5647.07</v>
      </c>
      <c r="S92" s="219">
        <f t="shared" si="2"/>
        <v>5390.3</v>
      </c>
      <c r="T92" s="219">
        <f t="shared" si="2"/>
        <v>256.77000000000004</v>
      </c>
    </row>
    <row r="93" spans="1:20" x14ac:dyDescent="0.2">
      <c r="A93" s="376">
        <v>16200</v>
      </c>
      <c r="B93" s="376" t="s">
        <v>226</v>
      </c>
      <c r="C93" s="376" t="s">
        <v>293</v>
      </c>
      <c r="D93" s="404" t="s">
        <v>2</v>
      </c>
      <c r="E93" s="390"/>
      <c r="F93" s="81">
        <v>978.98</v>
      </c>
      <c r="G93" s="81">
        <v>938.25</v>
      </c>
      <c r="H93" s="81">
        <v>40.729999999999997</v>
      </c>
      <c r="I93" s="100"/>
      <c r="J93" s="81">
        <v>0</v>
      </c>
      <c r="K93" s="81">
        <v>0</v>
      </c>
      <c r="L93" s="81">
        <v>0</v>
      </c>
      <c r="M93" s="100"/>
      <c r="N93" s="81">
        <v>0</v>
      </c>
      <c r="O93" s="81">
        <v>0</v>
      </c>
      <c r="P93" s="81">
        <v>0</v>
      </c>
      <c r="R93" s="219">
        <f t="shared" si="2"/>
        <v>978.98</v>
      </c>
      <c r="S93" s="219">
        <f t="shared" si="2"/>
        <v>938.25</v>
      </c>
      <c r="T93" s="219">
        <f t="shared" si="2"/>
        <v>40.729999999999997</v>
      </c>
    </row>
    <row r="94" spans="1:20" x14ac:dyDescent="0.2">
      <c r="A94" s="376">
        <v>16260</v>
      </c>
      <c r="B94" s="376" t="s">
        <v>227</v>
      </c>
      <c r="C94" s="376" t="s">
        <v>129</v>
      </c>
      <c r="D94" s="404" t="s">
        <v>4</v>
      </c>
      <c r="E94" s="390"/>
      <c r="F94" s="81">
        <v>11868</v>
      </c>
      <c r="G94" s="81">
        <v>10130.52</v>
      </c>
      <c r="H94" s="81">
        <v>1737.48</v>
      </c>
      <c r="I94" s="100"/>
      <c r="J94" s="81">
        <v>21</v>
      </c>
      <c r="K94" s="81">
        <v>21</v>
      </c>
      <c r="L94" s="81">
        <v>0</v>
      </c>
      <c r="M94" s="100"/>
      <c r="N94" s="81">
        <v>707</v>
      </c>
      <c r="O94" s="81">
        <v>693</v>
      </c>
      <c r="P94" s="81">
        <v>14</v>
      </c>
      <c r="R94" s="219">
        <f t="shared" si="2"/>
        <v>12596</v>
      </c>
      <c r="S94" s="219">
        <f t="shared" si="2"/>
        <v>10844.52</v>
      </c>
      <c r="T94" s="219">
        <f t="shared" si="2"/>
        <v>1751.48</v>
      </c>
    </row>
    <row r="95" spans="1:20" x14ac:dyDescent="0.2">
      <c r="A95" s="376">
        <v>16350</v>
      </c>
      <c r="B95" s="376" t="s">
        <v>228</v>
      </c>
      <c r="C95" s="376" t="s">
        <v>129</v>
      </c>
      <c r="D95" s="404" t="s">
        <v>4</v>
      </c>
      <c r="E95" s="390"/>
      <c r="F95" s="81">
        <v>19904</v>
      </c>
      <c r="G95" s="81">
        <v>18332</v>
      </c>
      <c r="H95" s="81">
        <v>1572</v>
      </c>
      <c r="I95" s="100"/>
      <c r="J95" s="81">
        <v>101.78999999999999</v>
      </c>
      <c r="K95" s="81">
        <v>99.1</v>
      </c>
      <c r="L95" s="81">
        <v>2.69</v>
      </c>
      <c r="M95" s="100"/>
      <c r="N95" s="81">
        <v>1011</v>
      </c>
      <c r="O95" s="81">
        <v>0</v>
      </c>
      <c r="P95" s="81">
        <v>1011</v>
      </c>
      <c r="R95" s="219">
        <f t="shared" si="2"/>
        <v>21016.79</v>
      </c>
      <c r="S95" s="219">
        <f t="shared" si="2"/>
        <v>18431.099999999999</v>
      </c>
      <c r="T95" s="219">
        <f t="shared" si="2"/>
        <v>2585.69</v>
      </c>
    </row>
    <row r="96" spans="1:20" x14ac:dyDescent="0.2">
      <c r="A96" s="376">
        <v>16380</v>
      </c>
      <c r="B96" s="376" t="s">
        <v>187</v>
      </c>
      <c r="C96" s="376" t="s">
        <v>294</v>
      </c>
      <c r="D96" s="404" t="s">
        <v>5</v>
      </c>
      <c r="E96" s="390"/>
      <c r="F96" s="81">
        <v>8860</v>
      </c>
      <c r="G96" s="81">
        <v>8329</v>
      </c>
      <c r="H96" s="81">
        <v>531</v>
      </c>
      <c r="I96" s="100"/>
      <c r="J96" s="81">
        <v>3738.9700000000003</v>
      </c>
      <c r="K96" s="81">
        <v>3738.9700000000003</v>
      </c>
      <c r="L96" s="81">
        <v>0</v>
      </c>
      <c r="M96" s="100"/>
      <c r="N96" s="81">
        <v>0</v>
      </c>
      <c r="O96" s="81">
        <v>0</v>
      </c>
      <c r="P96" s="81">
        <v>0</v>
      </c>
      <c r="R96" s="219">
        <f t="shared" si="2"/>
        <v>12598.970000000001</v>
      </c>
      <c r="S96" s="219">
        <f t="shared" si="2"/>
        <v>12067.970000000001</v>
      </c>
      <c r="T96" s="219">
        <f t="shared" si="2"/>
        <v>531</v>
      </c>
    </row>
    <row r="97" spans="1:20" x14ac:dyDescent="0.2">
      <c r="A97" s="376">
        <v>16400</v>
      </c>
      <c r="B97" s="376" t="s">
        <v>229</v>
      </c>
      <c r="C97" s="376" t="s">
        <v>163</v>
      </c>
      <c r="D97" s="404" t="s">
        <v>3</v>
      </c>
      <c r="E97" s="390"/>
      <c r="F97" s="81">
        <v>7378</v>
      </c>
      <c r="G97" s="81">
        <v>6967</v>
      </c>
      <c r="H97" s="81">
        <v>411</v>
      </c>
      <c r="I97" s="100"/>
      <c r="J97" s="81">
        <v>1224.05</v>
      </c>
      <c r="K97" s="81">
        <v>1224.05</v>
      </c>
      <c r="L97" s="81">
        <v>0</v>
      </c>
      <c r="M97" s="100"/>
      <c r="N97" s="81">
        <v>0</v>
      </c>
      <c r="O97" s="81">
        <v>0</v>
      </c>
      <c r="P97" s="81">
        <v>0</v>
      </c>
      <c r="R97" s="219">
        <f t="shared" si="2"/>
        <v>8602.0499999999993</v>
      </c>
      <c r="S97" s="219">
        <f t="shared" si="2"/>
        <v>8191.05</v>
      </c>
      <c r="T97" s="219">
        <f t="shared" si="2"/>
        <v>411</v>
      </c>
    </row>
    <row r="98" spans="1:20" x14ac:dyDescent="0.2">
      <c r="A98" s="376">
        <v>16490</v>
      </c>
      <c r="B98" s="376" t="s">
        <v>225</v>
      </c>
      <c r="C98" s="376" t="s">
        <v>704</v>
      </c>
      <c r="D98" s="404" t="s">
        <v>2</v>
      </c>
      <c r="E98" s="390"/>
      <c r="F98" s="81">
        <v>3338.84</v>
      </c>
      <c r="G98" s="81">
        <v>3071.84</v>
      </c>
      <c r="H98" s="81">
        <v>267</v>
      </c>
      <c r="I98" s="100"/>
      <c r="J98" s="81">
        <v>858.45</v>
      </c>
      <c r="K98" s="81">
        <v>835.45</v>
      </c>
      <c r="L98" s="81">
        <v>23</v>
      </c>
      <c r="M98" s="100"/>
      <c r="N98" s="81">
        <v>65.210000000000008</v>
      </c>
      <c r="O98" s="81">
        <v>65.210000000000008</v>
      </c>
      <c r="P98" s="81">
        <v>0</v>
      </c>
      <c r="R98" s="219">
        <f t="shared" si="2"/>
        <v>4262.5</v>
      </c>
      <c r="S98" s="219">
        <f t="shared" si="2"/>
        <v>3972.5</v>
      </c>
      <c r="T98" s="219">
        <f t="shared" si="2"/>
        <v>290</v>
      </c>
    </row>
    <row r="99" spans="1:20" x14ac:dyDescent="0.2">
      <c r="A99" s="376">
        <v>16550</v>
      </c>
      <c r="B99" s="376" t="s">
        <v>230</v>
      </c>
      <c r="C99" s="376" t="s">
        <v>127</v>
      </c>
      <c r="D99" s="404" t="s">
        <v>4</v>
      </c>
      <c r="E99" s="390"/>
      <c r="F99" s="81">
        <v>11300</v>
      </c>
      <c r="G99" s="81">
        <v>9900</v>
      </c>
      <c r="H99" s="81">
        <v>1400</v>
      </c>
      <c r="I99" s="100"/>
      <c r="J99" s="81">
        <v>355.7</v>
      </c>
      <c r="K99" s="81">
        <v>355.7</v>
      </c>
      <c r="L99" s="81">
        <v>0</v>
      </c>
      <c r="M99" s="100"/>
      <c r="N99" s="81">
        <v>479.8</v>
      </c>
      <c r="O99" s="81">
        <v>479.8</v>
      </c>
      <c r="P99" s="81">
        <v>0</v>
      </c>
      <c r="R99" s="219">
        <f t="shared" si="2"/>
        <v>12135.5</v>
      </c>
      <c r="S99" s="219">
        <f t="shared" si="2"/>
        <v>10735.5</v>
      </c>
      <c r="T99" s="219">
        <f t="shared" si="2"/>
        <v>1400</v>
      </c>
    </row>
    <row r="100" spans="1:20" x14ac:dyDescent="0.2">
      <c r="A100" s="376">
        <v>16610</v>
      </c>
      <c r="B100" s="376" t="s">
        <v>231</v>
      </c>
      <c r="C100" s="376" t="s">
        <v>131</v>
      </c>
      <c r="D100" s="404" t="s">
        <v>5</v>
      </c>
      <c r="E100" s="390"/>
      <c r="F100" s="81">
        <v>1926.72</v>
      </c>
      <c r="G100" s="81">
        <v>1918.64</v>
      </c>
      <c r="H100" s="81">
        <v>8.08</v>
      </c>
      <c r="I100" s="100"/>
      <c r="J100" s="81">
        <v>1543</v>
      </c>
      <c r="K100" s="81">
        <v>1540</v>
      </c>
      <c r="L100" s="81">
        <v>3</v>
      </c>
      <c r="M100" s="100"/>
      <c r="N100" s="81">
        <v>0</v>
      </c>
      <c r="O100" s="81">
        <v>0</v>
      </c>
      <c r="P100" s="81">
        <v>0</v>
      </c>
      <c r="R100" s="219">
        <f t="shared" si="2"/>
        <v>3469.7200000000003</v>
      </c>
      <c r="S100" s="219">
        <f t="shared" si="2"/>
        <v>3458.6400000000003</v>
      </c>
      <c r="T100" s="219">
        <f t="shared" si="2"/>
        <v>11.08</v>
      </c>
    </row>
    <row r="101" spans="1:20" x14ac:dyDescent="0.2">
      <c r="A101" s="376">
        <v>16700</v>
      </c>
      <c r="B101" s="376" t="s">
        <v>232</v>
      </c>
      <c r="C101" s="376" t="s">
        <v>190</v>
      </c>
      <c r="D101" s="404" t="s">
        <v>4</v>
      </c>
      <c r="E101" s="390"/>
      <c r="F101" s="81">
        <v>8964</v>
      </c>
      <c r="G101" s="81">
        <v>8516</v>
      </c>
      <c r="H101" s="81">
        <v>448</v>
      </c>
      <c r="I101" s="100"/>
      <c r="J101" s="81">
        <v>0</v>
      </c>
      <c r="K101" s="81">
        <v>0</v>
      </c>
      <c r="L101" s="81">
        <v>0</v>
      </c>
      <c r="M101" s="100"/>
      <c r="N101" s="81">
        <v>366.26</v>
      </c>
      <c r="O101" s="81">
        <v>366.26</v>
      </c>
      <c r="P101" s="81">
        <v>0</v>
      </c>
      <c r="R101" s="219">
        <f t="shared" si="2"/>
        <v>9330.26</v>
      </c>
      <c r="S101" s="219">
        <f t="shared" si="2"/>
        <v>8882.26</v>
      </c>
      <c r="T101" s="219">
        <f t="shared" si="2"/>
        <v>448</v>
      </c>
    </row>
    <row r="102" spans="1:20" x14ac:dyDescent="0.2">
      <c r="A102" s="376">
        <v>16900</v>
      </c>
      <c r="B102" s="376" t="s">
        <v>233</v>
      </c>
      <c r="C102" s="376" t="s">
        <v>291</v>
      </c>
      <c r="D102" s="404" t="s">
        <v>3</v>
      </c>
      <c r="E102" s="390"/>
      <c r="F102" s="81">
        <v>6860.12</v>
      </c>
      <c r="G102" s="81">
        <v>6357.47</v>
      </c>
      <c r="H102" s="81">
        <v>502.65</v>
      </c>
      <c r="I102" s="100"/>
      <c r="J102" s="81">
        <v>3458.67</v>
      </c>
      <c r="K102" s="81">
        <v>3458.67</v>
      </c>
      <c r="L102" s="81">
        <v>0</v>
      </c>
      <c r="M102" s="100"/>
      <c r="N102" s="81">
        <v>10.86</v>
      </c>
      <c r="O102" s="81">
        <v>10.86</v>
      </c>
      <c r="P102" s="81">
        <v>0</v>
      </c>
      <c r="R102" s="219">
        <f t="shared" si="2"/>
        <v>10329.650000000001</v>
      </c>
      <c r="S102" s="219">
        <f t="shared" si="2"/>
        <v>9827</v>
      </c>
      <c r="T102" s="219">
        <f t="shared" si="2"/>
        <v>502.65</v>
      </c>
    </row>
    <row r="103" spans="1:20" x14ac:dyDescent="0.2">
      <c r="A103" s="376">
        <v>16950</v>
      </c>
      <c r="B103" s="376" t="s">
        <v>234</v>
      </c>
      <c r="C103" s="376" t="s">
        <v>291</v>
      </c>
      <c r="D103" s="404" t="s">
        <v>3</v>
      </c>
      <c r="E103" s="390"/>
      <c r="F103" s="81">
        <v>12501</v>
      </c>
      <c r="G103" s="81">
        <v>11865</v>
      </c>
      <c r="H103" s="81">
        <v>636</v>
      </c>
      <c r="I103" s="100"/>
      <c r="J103" s="81">
        <v>2031.8999999999999</v>
      </c>
      <c r="K103" s="81">
        <v>2031.8999999999999</v>
      </c>
      <c r="L103" s="81">
        <v>0</v>
      </c>
      <c r="M103" s="100"/>
      <c r="N103" s="81">
        <v>290.5</v>
      </c>
      <c r="O103" s="81">
        <v>290.5</v>
      </c>
      <c r="P103" s="81">
        <v>0</v>
      </c>
      <c r="R103" s="219">
        <f t="shared" si="2"/>
        <v>14823.4</v>
      </c>
      <c r="S103" s="219">
        <f t="shared" si="2"/>
        <v>14187.4</v>
      </c>
      <c r="T103" s="219">
        <f t="shared" si="2"/>
        <v>636</v>
      </c>
    </row>
    <row r="104" spans="1:20" x14ac:dyDescent="0.2">
      <c r="A104" s="376">
        <v>17000</v>
      </c>
      <c r="B104" s="376" t="s">
        <v>235</v>
      </c>
      <c r="C104" s="376" t="s">
        <v>163</v>
      </c>
      <c r="D104" s="404" t="s">
        <v>5</v>
      </c>
      <c r="E104" s="390"/>
      <c r="F104" s="81">
        <v>2073.46</v>
      </c>
      <c r="G104" s="81">
        <v>2029.82</v>
      </c>
      <c r="H104" s="81">
        <v>43.64</v>
      </c>
      <c r="I104" s="100"/>
      <c r="J104" s="81">
        <v>995.86</v>
      </c>
      <c r="K104" s="81">
        <v>995.86</v>
      </c>
      <c r="L104" s="81">
        <v>0</v>
      </c>
      <c r="M104" s="100"/>
      <c r="N104" s="81">
        <v>0</v>
      </c>
      <c r="O104" s="81">
        <v>0</v>
      </c>
      <c r="P104" s="81">
        <v>0</v>
      </c>
      <c r="R104" s="219">
        <f t="shared" si="2"/>
        <v>3069.32</v>
      </c>
      <c r="S104" s="219">
        <f t="shared" si="2"/>
        <v>3025.68</v>
      </c>
      <c r="T104" s="219">
        <f t="shared" si="2"/>
        <v>43.64</v>
      </c>
    </row>
    <row r="105" spans="1:20" x14ac:dyDescent="0.2">
      <c r="A105" s="376">
        <v>17040</v>
      </c>
      <c r="B105" s="376" t="s">
        <v>147</v>
      </c>
      <c r="C105" s="376" t="s">
        <v>704</v>
      </c>
      <c r="D105" s="404" t="s">
        <v>2</v>
      </c>
      <c r="E105" s="390"/>
      <c r="F105" s="81">
        <v>799.32</v>
      </c>
      <c r="G105" s="81">
        <v>797.32</v>
      </c>
      <c r="H105" s="81">
        <v>2</v>
      </c>
      <c r="I105" s="100"/>
      <c r="J105" s="81">
        <v>1221.1100000000001</v>
      </c>
      <c r="K105" s="81">
        <v>1219.6100000000001</v>
      </c>
      <c r="L105" s="81">
        <v>1.5</v>
      </c>
      <c r="M105" s="100"/>
      <c r="N105" s="81">
        <v>0</v>
      </c>
      <c r="O105" s="81">
        <v>0</v>
      </c>
      <c r="P105" s="81">
        <v>0</v>
      </c>
      <c r="R105" s="219">
        <f t="shared" si="2"/>
        <v>2020.4300000000003</v>
      </c>
      <c r="S105" s="219">
        <f t="shared" si="2"/>
        <v>2016.9300000000003</v>
      </c>
      <c r="T105" s="219">
        <f t="shared" si="2"/>
        <v>3.5</v>
      </c>
    </row>
    <row r="106" spans="1:20" x14ac:dyDescent="0.2">
      <c r="A106" s="376">
        <v>17080</v>
      </c>
      <c r="B106" s="376" t="s">
        <v>242</v>
      </c>
      <c r="C106" s="376" t="s">
        <v>142</v>
      </c>
      <c r="D106" s="404" t="s">
        <v>2</v>
      </c>
      <c r="E106" s="390"/>
      <c r="F106" s="81">
        <v>1726</v>
      </c>
      <c r="G106" s="81">
        <v>1628.45</v>
      </c>
      <c r="H106" s="81">
        <v>97.55</v>
      </c>
      <c r="I106" s="100"/>
      <c r="J106" s="81">
        <v>0</v>
      </c>
      <c r="K106" s="81">
        <v>0</v>
      </c>
      <c r="L106" s="81">
        <v>0</v>
      </c>
      <c r="M106" s="100"/>
      <c r="N106" s="81">
        <v>0</v>
      </c>
      <c r="O106" s="81">
        <v>0</v>
      </c>
      <c r="P106" s="81">
        <v>0</v>
      </c>
      <c r="R106" s="219">
        <f t="shared" si="2"/>
        <v>1726</v>
      </c>
      <c r="S106" s="219">
        <f t="shared" si="2"/>
        <v>1628.45</v>
      </c>
      <c r="T106" s="219">
        <f t="shared" si="2"/>
        <v>97.55</v>
      </c>
    </row>
    <row r="107" spans="1:20" x14ac:dyDescent="0.2">
      <c r="A107" s="376">
        <v>17100</v>
      </c>
      <c r="B107" s="376" t="s">
        <v>236</v>
      </c>
      <c r="C107" s="376"/>
      <c r="D107" s="404" t="s">
        <v>4</v>
      </c>
      <c r="E107" s="390"/>
      <c r="F107" s="81">
        <v>2659.73</v>
      </c>
      <c r="G107" s="81">
        <v>2331.79</v>
      </c>
      <c r="H107" s="81">
        <v>327.94</v>
      </c>
      <c r="I107" s="100"/>
      <c r="J107" s="81">
        <v>0</v>
      </c>
      <c r="K107" s="81">
        <v>0</v>
      </c>
      <c r="L107" s="81">
        <v>0</v>
      </c>
      <c r="M107" s="100"/>
      <c r="N107" s="81">
        <v>110</v>
      </c>
      <c r="O107" s="81">
        <v>110</v>
      </c>
      <c r="P107" s="81">
        <v>0</v>
      </c>
      <c r="R107" s="219">
        <f t="shared" si="2"/>
        <v>2769.73</v>
      </c>
      <c r="S107" s="219">
        <f t="shared" si="2"/>
        <v>2441.79</v>
      </c>
      <c r="T107" s="219">
        <f t="shared" si="2"/>
        <v>327.94</v>
      </c>
    </row>
    <row r="108" spans="1:20" x14ac:dyDescent="0.2">
      <c r="A108" s="376">
        <v>17150</v>
      </c>
      <c r="B108" s="376" t="s">
        <v>237</v>
      </c>
      <c r="C108" s="376" t="s">
        <v>127</v>
      </c>
      <c r="D108" s="404" t="s">
        <v>4</v>
      </c>
      <c r="E108" s="390"/>
      <c r="F108" s="81">
        <v>23857</v>
      </c>
      <c r="G108" s="81">
        <v>21347.24</v>
      </c>
      <c r="H108" s="81">
        <v>2509.7600000000002</v>
      </c>
      <c r="I108" s="100"/>
      <c r="J108" s="81">
        <v>160</v>
      </c>
      <c r="K108" s="81">
        <v>160</v>
      </c>
      <c r="L108" s="81">
        <v>0</v>
      </c>
      <c r="M108" s="100"/>
      <c r="N108" s="81">
        <v>1200</v>
      </c>
      <c r="O108" s="81">
        <v>1200</v>
      </c>
      <c r="P108" s="81">
        <v>0</v>
      </c>
      <c r="R108" s="219">
        <f t="shared" si="2"/>
        <v>25217</v>
      </c>
      <c r="S108" s="219">
        <f t="shared" si="2"/>
        <v>22707.24</v>
      </c>
      <c r="T108" s="219">
        <f t="shared" si="2"/>
        <v>2509.7600000000002</v>
      </c>
    </row>
    <row r="109" spans="1:20" x14ac:dyDescent="0.2">
      <c r="A109" s="376">
        <v>17200</v>
      </c>
      <c r="B109" s="376" t="s">
        <v>238</v>
      </c>
      <c r="C109" s="376" t="s">
        <v>127</v>
      </c>
      <c r="D109" s="404" t="s">
        <v>4</v>
      </c>
      <c r="E109" s="390"/>
      <c r="F109" s="81">
        <v>14670</v>
      </c>
      <c r="G109" s="81">
        <v>12691.02</v>
      </c>
      <c r="H109" s="81">
        <v>1978.98</v>
      </c>
      <c r="I109" s="100"/>
      <c r="J109" s="81">
        <v>96</v>
      </c>
      <c r="K109" s="81">
        <v>96</v>
      </c>
      <c r="L109" s="81">
        <v>0</v>
      </c>
      <c r="M109" s="100"/>
      <c r="N109" s="81">
        <v>1283</v>
      </c>
      <c r="O109" s="81">
        <v>1283</v>
      </c>
      <c r="P109" s="81">
        <v>0</v>
      </c>
      <c r="R109" s="219">
        <f t="shared" si="2"/>
        <v>16049</v>
      </c>
      <c r="S109" s="219">
        <f t="shared" si="2"/>
        <v>14070.02</v>
      </c>
      <c r="T109" s="219">
        <f t="shared" si="2"/>
        <v>1978.98</v>
      </c>
    </row>
    <row r="110" spans="1:20" x14ac:dyDescent="0.2">
      <c r="A110" s="376">
        <v>17310</v>
      </c>
      <c r="B110" s="376" t="s">
        <v>239</v>
      </c>
      <c r="C110" s="376" t="s">
        <v>125</v>
      </c>
      <c r="D110" s="404" t="s">
        <v>2</v>
      </c>
      <c r="E110" s="390"/>
      <c r="F110" s="81">
        <v>4883.1000000000004</v>
      </c>
      <c r="G110" s="81">
        <v>4215.1000000000004</v>
      </c>
      <c r="H110" s="81">
        <v>668</v>
      </c>
      <c r="I110" s="100"/>
      <c r="J110" s="81">
        <v>0</v>
      </c>
      <c r="K110" s="81">
        <v>0</v>
      </c>
      <c r="L110" s="81">
        <v>0</v>
      </c>
      <c r="M110" s="100"/>
      <c r="N110" s="81">
        <v>75</v>
      </c>
      <c r="O110" s="81">
        <v>75</v>
      </c>
      <c r="P110" s="81">
        <v>0</v>
      </c>
      <c r="R110" s="219">
        <f t="shared" si="2"/>
        <v>4958.1000000000004</v>
      </c>
      <c r="S110" s="219">
        <f t="shared" si="2"/>
        <v>4290.1000000000004</v>
      </c>
      <c r="T110" s="219">
        <f t="shared" si="2"/>
        <v>668</v>
      </c>
    </row>
    <row r="111" spans="1:20" x14ac:dyDescent="0.2">
      <c r="A111" s="376">
        <v>17350</v>
      </c>
      <c r="B111" s="376" t="s">
        <v>240</v>
      </c>
      <c r="C111" s="376" t="s">
        <v>142</v>
      </c>
      <c r="D111" s="404" t="s">
        <v>2</v>
      </c>
      <c r="E111" s="390"/>
      <c r="F111" s="81">
        <v>0</v>
      </c>
      <c r="G111" s="81">
        <v>0</v>
      </c>
      <c r="H111" s="81">
        <v>0</v>
      </c>
      <c r="I111" s="100"/>
      <c r="J111" s="81">
        <v>203</v>
      </c>
      <c r="K111" s="81">
        <v>203</v>
      </c>
      <c r="L111" s="81">
        <v>0</v>
      </c>
      <c r="M111" s="100"/>
      <c r="N111" s="81">
        <v>0</v>
      </c>
      <c r="O111" s="81">
        <v>0</v>
      </c>
      <c r="P111" s="81">
        <v>0</v>
      </c>
      <c r="R111" s="219">
        <f t="shared" si="2"/>
        <v>203</v>
      </c>
      <c r="S111" s="219">
        <f t="shared" si="2"/>
        <v>203</v>
      </c>
      <c r="T111" s="219">
        <f t="shared" si="2"/>
        <v>0</v>
      </c>
    </row>
    <row r="112" spans="1:20" x14ac:dyDescent="0.2">
      <c r="A112" s="376">
        <v>17400</v>
      </c>
      <c r="B112" s="376" t="s">
        <v>241</v>
      </c>
      <c r="C112" s="376" t="s">
        <v>125</v>
      </c>
      <c r="D112" s="404" t="s">
        <v>2</v>
      </c>
      <c r="E112" s="390"/>
      <c r="F112" s="81">
        <v>543</v>
      </c>
      <c r="G112" s="81">
        <v>520.41</v>
      </c>
      <c r="H112" s="81">
        <v>22.59</v>
      </c>
      <c r="I112" s="100"/>
      <c r="J112" s="81">
        <v>0</v>
      </c>
      <c r="K112" s="81">
        <v>0</v>
      </c>
      <c r="L112" s="81">
        <v>0</v>
      </c>
      <c r="M112" s="100"/>
      <c r="N112" s="81">
        <v>0</v>
      </c>
      <c r="O112" s="81">
        <v>0</v>
      </c>
      <c r="P112" s="81">
        <v>0</v>
      </c>
      <c r="R112" s="219">
        <f t="shared" si="2"/>
        <v>543</v>
      </c>
      <c r="S112" s="219">
        <f t="shared" si="2"/>
        <v>520.41</v>
      </c>
      <c r="T112" s="219">
        <f t="shared" si="2"/>
        <v>22.59</v>
      </c>
    </row>
    <row r="113" spans="1:20" x14ac:dyDescent="0.2">
      <c r="A113" s="376">
        <v>17420</v>
      </c>
      <c r="B113" s="376" t="s">
        <v>136</v>
      </c>
      <c r="C113" s="376" t="s">
        <v>129</v>
      </c>
      <c r="D113" s="404" t="s">
        <v>4</v>
      </c>
      <c r="E113" s="390"/>
      <c r="F113" s="81">
        <v>15982.1</v>
      </c>
      <c r="G113" s="81">
        <v>15146.24</v>
      </c>
      <c r="H113" s="81">
        <v>835.86</v>
      </c>
      <c r="I113" s="100"/>
      <c r="J113" s="81">
        <v>87.28</v>
      </c>
      <c r="K113" s="81">
        <v>87.28</v>
      </c>
      <c r="L113" s="81">
        <v>0</v>
      </c>
      <c r="M113" s="100"/>
      <c r="N113" s="81">
        <v>1264.7</v>
      </c>
      <c r="O113" s="81">
        <v>0.70000000000004547</v>
      </c>
      <c r="P113" s="81">
        <v>1264</v>
      </c>
      <c r="R113" s="219">
        <f t="shared" si="2"/>
        <v>17334.080000000002</v>
      </c>
      <c r="S113" s="219">
        <f t="shared" si="2"/>
        <v>15234.220000000001</v>
      </c>
      <c r="T113" s="219">
        <f t="shared" si="2"/>
        <v>2099.86</v>
      </c>
    </row>
    <row r="114" spans="1:20" x14ac:dyDescent="0.2">
      <c r="A114" s="376">
        <v>17550</v>
      </c>
      <c r="B114" s="376" t="s">
        <v>243</v>
      </c>
      <c r="C114" s="376" t="s">
        <v>131</v>
      </c>
      <c r="D114" s="404" t="s">
        <v>5</v>
      </c>
      <c r="E114" s="390"/>
      <c r="F114" s="81">
        <v>11391</v>
      </c>
      <c r="G114" s="81">
        <v>10913</v>
      </c>
      <c r="H114" s="81">
        <v>478</v>
      </c>
      <c r="I114" s="100"/>
      <c r="J114" s="81">
        <v>916.31000000000006</v>
      </c>
      <c r="K114" s="81">
        <v>916.31000000000006</v>
      </c>
      <c r="L114" s="81">
        <v>0</v>
      </c>
      <c r="M114" s="100"/>
      <c r="N114" s="81">
        <v>0</v>
      </c>
      <c r="O114" s="81">
        <v>0</v>
      </c>
      <c r="P114" s="81">
        <v>0</v>
      </c>
      <c r="R114" s="219">
        <f t="shared" si="2"/>
        <v>12307.31</v>
      </c>
      <c r="S114" s="219">
        <f t="shared" si="2"/>
        <v>11829.31</v>
      </c>
      <c r="T114" s="219">
        <f t="shared" si="2"/>
        <v>478</v>
      </c>
    </row>
    <row r="115" spans="1:20" x14ac:dyDescent="0.2">
      <c r="A115" s="376">
        <v>17620</v>
      </c>
      <c r="B115" s="376" t="s">
        <v>244</v>
      </c>
      <c r="C115" s="376" t="s">
        <v>163</v>
      </c>
      <c r="D115" s="404" t="s">
        <v>5</v>
      </c>
      <c r="E115" s="390"/>
      <c r="F115" s="81">
        <v>1048</v>
      </c>
      <c r="G115" s="81">
        <v>941</v>
      </c>
      <c r="H115" s="81">
        <v>107</v>
      </c>
      <c r="I115" s="100"/>
      <c r="J115" s="81">
        <v>48</v>
      </c>
      <c r="K115" s="81">
        <v>48</v>
      </c>
      <c r="L115" s="81">
        <v>0</v>
      </c>
      <c r="M115" s="100"/>
      <c r="N115" s="81">
        <v>0</v>
      </c>
      <c r="O115" s="81">
        <v>0</v>
      </c>
      <c r="P115" s="81">
        <v>0</v>
      </c>
      <c r="R115" s="219">
        <f t="shared" si="2"/>
        <v>1096</v>
      </c>
      <c r="S115" s="219">
        <f t="shared" si="2"/>
        <v>989</v>
      </c>
      <c r="T115" s="219">
        <f t="shared" si="2"/>
        <v>107</v>
      </c>
    </row>
    <row r="116" spans="1:20" x14ac:dyDescent="0.2">
      <c r="A116" s="376">
        <v>17640</v>
      </c>
      <c r="B116" s="376" t="s">
        <v>245</v>
      </c>
      <c r="C116" s="376" t="s">
        <v>704</v>
      </c>
      <c r="D116" s="404" t="s">
        <v>2</v>
      </c>
      <c r="E116" s="390"/>
      <c r="F116" s="81">
        <v>509</v>
      </c>
      <c r="G116" s="81">
        <v>478</v>
      </c>
      <c r="H116" s="81">
        <v>31</v>
      </c>
      <c r="I116" s="100"/>
      <c r="J116" s="81">
        <v>0</v>
      </c>
      <c r="K116" s="81">
        <v>0</v>
      </c>
      <c r="L116" s="81">
        <v>0</v>
      </c>
      <c r="M116" s="100"/>
      <c r="N116" s="81">
        <v>0</v>
      </c>
      <c r="O116" s="81">
        <v>0</v>
      </c>
      <c r="P116" s="81">
        <v>0</v>
      </c>
      <c r="R116" s="219">
        <f t="shared" si="2"/>
        <v>509</v>
      </c>
      <c r="S116" s="219">
        <f t="shared" si="2"/>
        <v>478</v>
      </c>
      <c r="T116" s="219">
        <f t="shared" si="2"/>
        <v>31</v>
      </c>
    </row>
    <row r="117" spans="1:20" x14ac:dyDescent="0.2">
      <c r="A117" s="376">
        <v>17650</v>
      </c>
      <c r="B117" s="376" t="s">
        <v>246</v>
      </c>
      <c r="C117" s="376" t="s">
        <v>125</v>
      </c>
      <c r="D117" s="404" t="s">
        <v>2</v>
      </c>
      <c r="E117" s="390"/>
      <c r="F117" s="81">
        <v>384.5</v>
      </c>
      <c r="G117" s="81">
        <v>358.34</v>
      </c>
      <c r="H117" s="81">
        <v>26.16</v>
      </c>
      <c r="I117" s="100"/>
      <c r="J117" s="81">
        <v>26.15</v>
      </c>
      <c r="K117" s="81">
        <v>0</v>
      </c>
      <c r="L117" s="81">
        <v>26.15</v>
      </c>
      <c r="M117" s="100"/>
      <c r="N117" s="81">
        <v>0</v>
      </c>
      <c r="O117" s="81">
        <v>0</v>
      </c>
      <c r="P117" s="81">
        <v>0</v>
      </c>
      <c r="R117" s="219">
        <f t="shared" si="2"/>
        <v>410.65</v>
      </c>
      <c r="S117" s="219">
        <f t="shared" si="2"/>
        <v>358.34</v>
      </c>
      <c r="T117" s="219">
        <f t="shared" si="2"/>
        <v>52.31</v>
      </c>
    </row>
    <row r="118" spans="1:20" x14ac:dyDescent="0.2">
      <c r="A118" s="376">
        <v>17750</v>
      </c>
      <c r="B118" s="376" t="s">
        <v>247</v>
      </c>
      <c r="C118" s="376" t="s">
        <v>142</v>
      </c>
      <c r="D118" s="404" t="s">
        <v>2</v>
      </c>
      <c r="E118" s="390"/>
      <c r="F118" s="81">
        <v>8082.71</v>
      </c>
      <c r="G118" s="81">
        <v>7008.18</v>
      </c>
      <c r="H118" s="81">
        <v>1074.53</v>
      </c>
      <c r="I118" s="100"/>
      <c r="J118" s="81">
        <v>169</v>
      </c>
      <c r="K118" s="81">
        <v>169</v>
      </c>
      <c r="L118" s="81">
        <v>0</v>
      </c>
      <c r="M118" s="100"/>
      <c r="N118" s="81">
        <v>0</v>
      </c>
      <c r="O118" s="81">
        <v>0</v>
      </c>
      <c r="P118" s="81">
        <v>0</v>
      </c>
      <c r="R118" s="219">
        <f t="shared" si="2"/>
        <v>8251.7099999999991</v>
      </c>
      <c r="S118" s="219">
        <f t="shared" si="2"/>
        <v>7177.18</v>
      </c>
      <c r="T118" s="219">
        <f t="shared" si="2"/>
        <v>1074.53</v>
      </c>
    </row>
    <row r="119" spans="1:20" x14ac:dyDescent="0.2">
      <c r="A119" s="376">
        <v>17850</v>
      </c>
      <c r="B119" s="376" t="s">
        <v>248</v>
      </c>
      <c r="C119" s="376" t="s">
        <v>125</v>
      </c>
      <c r="D119" s="404" t="s">
        <v>2</v>
      </c>
      <c r="E119" s="390"/>
      <c r="F119" s="81">
        <v>161.06</v>
      </c>
      <c r="G119" s="81">
        <v>154.36000000000001</v>
      </c>
      <c r="H119" s="81">
        <v>6.7</v>
      </c>
      <c r="I119" s="100"/>
      <c r="J119" s="81">
        <v>570.89</v>
      </c>
      <c r="K119" s="81">
        <v>570.89</v>
      </c>
      <c r="L119" s="81">
        <v>0</v>
      </c>
      <c r="M119" s="100"/>
      <c r="N119" s="81">
        <v>0</v>
      </c>
      <c r="O119" s="81">
        <v>0</v>
      </c>
      <c r="P119" s="81">
        <v>0</v>
      </c>
      <c r="R119" s="219">
        <f t="shared" si="2"/>
        <v>731.95</v>
      </c>
      <c r="S119" s="219">
        <f t="shared" si="2"/>
        <v>725.25</v>
      </c>
      <c r="T119" s="219">
        <f t="shared" si="2"/>
        <v>6.7</v>
      </c>
    </row>
    <row r="120" spans="1:20" x14ac:dyDescent="0.2">
      <c r="A120" s="376">
        <v>17900</v>
      </c>
      <c r="B120" s="376" t="s">
        <v>249</v>
      </c>
      <c r="C120" s="376" t="s">
        <v>293</v>
      </c>
      <c r="D120" s="404" t="s">
        <v>2</v>
      </c>
      <c r="E120" s="390"/>
      <c r="F120" s="81">
        <v>0</v>
      </c>
      <c r="G120" s="81">
        <v>0</v>
      </c>
      <c r="H120" s="81">
        <v>0</v>
      </c>
      <c r="I120" s="100"/>
      <c r="J120" s="81">
        <v>0</v>
      </c>
      <c r="K120" s="81">
        <v>0</v>
      </c>
      <c r="L120" s="81">
        <v>0</v>
      </c>
      <c r="M120" s="100"/>
      <c r="N120" s="81">
        <v>0</v>
      </c>
      <c r="O120" s="81">
        <v>0</v>
      </c>
      <c r="P120" s="81">
        <v>0</v>
      </c>
      <c r="R120" s="219">
        <f t="shared" si="2"/>
        <v>0</v>
      </c>
      <c r="S120" s="219">
        <f t="shared" si="2"/>
        <v>0</v>
      </c>
      <c r="T120" s="219">
        <f t="shared" si="2"/>
        <v>0</v>
      </c>
    </row>
    <row r="121" spans="1:20" x14ac:dyDescent="0.2">
      <c r="A121" s="376">
        <v>17950</v>
      </c>
      <c r="B121" s="376" t="s">
        <v>250</v>
      </c>
      <c r="C121" s="376" t="s">
        <v>293</v>
      </c>
      <c r="D121" s="404" t="s">
        <v>2</v>
      </c>
      <c r="E121" s="390"/>
      <c r="F121" s="81">
        <v>0</v>
      </c>
      <c r="G121" s="81">
        <v>0</v>
      </c>
      <c r="H121" s="81">
        <v>0</v>
      </c>
      <c r="I121" s="100"/>
      <c r="J121" s="81">
        <v>130</v>
      </c>
      <c r="K121" s="81">
        <v>129</v>
      </c>
      <c r="L121" s="81">
        <v>1</v>
      </c>
      <c r="M121" s="100"/>
      <c r="N121" s="81">
        <v>0</v>
      </c>
      <c r="O121" s="81">
        <v>0</v>
      </c>
      <c r="P121" s="81">
        <v>0</v>
      </c>
      <c r="R121" s="219">
        <f t="shared" si="2"/>
        <v>130</v>
      </c>
      <c r="S121" s="219">
        <f t="shared" si="2"/>
        <v>129</v>
      </c>
      <c r="T121" s="219">
        <f t="shared" si="2"/>
        <v>1</v>
      </c>
    </row>
    <row r="122" spans="1:20" x14ac:dyDescent="0.2">
      <c r="A122" s="376">
        <v>18020</v>
      </c>
      <c r="B122" s="376" t="s">
        <v>251</v>
      </c>
      <c r="C122" s="376" t="s">
        <v>293</v>
      </c>
      <c r="D122" s="404" t="s">
        <v>2</v>
      </c>
      <c r="E122" s="390"/>
      <c r="F122" s="81">
        <v>895</v>
      </c>
      <c r="G122" s="81">
        <v>861</v>
      </c>
      <c r="H122" s="81">
        <v>34</v>
      </c>
      <c r="I122" s="100"/>
      <c r="J122" s="81">
        <v>0</v>
      </c>
      <c r="K122" s="81">
        <v>0</v>
      </c>
      <c r="L122" s="81">
        <v>0</v>
      </c>
      <c r="M122" s="100"/>
      <c r="N122" s="81">
        <v>0</v>
      </c>
      <c r="O122" s="81">
        <v>0</v>
      </c>
      <c r="P122" s="81">
        <v>0</v>
      </c>
      <c r="R122" s="219">
        <f t="shared" si="2"/>
        <v>895</v>
      </c>
      <c r="S122" s="219">
        <f t="shared" si="2"/>
        <v>861</v>
      </c>
      <c r="T122" s="219">
        <f t="shared" si="2"/>
        <v>34</v>
      </c>
    </row>
    <row r="123" spans="1:20" x14ac:dyDescent="0.2">
      <c r="A123" s="376">
        <v>18050</v>
      </c>
      <c r="B123" s="376" t="s">
        <v>252</v>
      </c>
      <c r="C123" s="376" t="s">
        <v>127</v>
      </c>
      <c r="D123" s="404" t="s">
        <v>4</v>
      </c>
      <c r="E123" s="390"/>
      <c r="F123" s="81">
        <v>6101.27</v>
      </c>
      <c r="G123" s="81">
        <v>5688.21</v>
      </c>
      <c r="H123" s="81">
        <v>413.06</v>
      </c>
      <c r="I123" s="100"/>
      <c r="J123" s="81">
        <v>85.24</v>
      </c>
      <c r="K123" s="81">
        <v>85.24</v>
      </c>
      <c r="L123" s="81">
        <v>0</v>
      </c>
      <c r="M123" s="100"/>
      <c r="N123" s="81">
        <v>0</v>
      </c>
      <c r="O123" s="81">
        <v>0</v>
      </c>
      <c r="P123" s="81">
        <v>0</v>
      </c>
      <c r="R123" s="219">
        <f t="shared" si="2"/>
        <v>6186.51</v>
      </c>
      <c r="S123" s="219">
        <f t="shared" si="2"/>
        <v>5773.45</v>
      </c>
      <c r="T123" s="219">
        <f t="shared" si="2"/>
        <v>413.06</v>
      </c>
    </row>
    <row r="124" spans="1:20" x14ac:dyDescent="0.2">
      <c r="A124" s="376">
        <v>18100</v>
      </c>
      <c r="B124" s="376" t="s">
        <v>253</v>
      </c>
      <c r="C124" s="376" t="s">
        <v>293</v>
      </c>
      <c r="D124" s="404" t="s">
        <v>2</v>
      </c>
      <c r="E124" s="390"/>
      <c r="F124" s="81">
        <v>378</v>
      </c>
      <c r="G124" s="81">
        <v>362.28</v>
      </c>
      <c r="H124" s="81">
        <v>15.72</v>
      </c>
      <c r="I124" s="100"/>
      <c r="J124" s="81">
        <v>99.899999999999991</v>
      </c>
      <c r="K124" s="81">
        <v>93.1</v>
      </c>
      <c r="L124" s="81">
        <v>6.8</v>
      </c>
      <c r="M124" s="100"/>
      <c r="N124" s="81">
        <v>0</v>
      </c>
      <c r="O124" s="81">
        <v>0</v>
      </c>
      <c r="P124" s="81">
        <v>0</v>
      </c>
      <c r="R124" s="219">
        <f t="shared" si="2"/>
        <v>477.9</v>
      </c>
      <c r="S124" s="219">
        <f t="shared" si="2"/>
        <v>455.38</v>
      </c>
      <c r="T124" s="219">
        <f t="shared" si="2"/>
        <v>22.52</v>
      </c>
    </row>
    <row r="125" spans="1:20" x14ac:dyDescent="0.2">
      <c r="A125" s="376">
        <v>18200</v>
      </c>
      <c r="B125" s="376" t="s">
        <v>254</v>
      </c>
      <c r="C125" s="376" t="s">
        <v>703</v>
      </c>
      <c r="D125" s="404" t="s">
        <v>2</v>
      </c>
      <c r="E125" s="390"/>
      <c r="F125" s="81">
        <v>0</v>
      </c>
      <c r="G125" s="81">
        <v>0</v>
      </c>
      <c r="H125" s="81">
        <v>0</v>
      </c>
      <c r="I125" s="100"/>
      <c r="J125" s="81">
        <v>55.15</v>
      </c>
      <c r="K125" s="81">
        <v>50.35</v>
      </c>
      <c r="L125" s="81">
        <v>4.8</v>
      </c>
      <c r="M125" s="100"/>
      <c r="N125" s="81">
        <v>0</v>
      </c>
      <c r="O125" s="81">
        <v>0</v>
      </c>
      <c r="P125" s="81">
        <v>0</v>
      </c>
      <c r="R125" s="219">
        <f t="shared" si="2"/>
        <v>55.15</v>
      </c>
      <c r="S125" s="219">
        <f t="shared" si="2"/>
        <v>50.35</v>
      </c>
      <c r="T125" s="219">
        <f t="shared" si="2"/>
        <v>4.8</v>
      </c>
    </row>
    <row r="126" spans="1:20" x14ac:dyDescent="0.2">
      <c r="A126" s="376">
        <v>18230</v>
      </c>
      <c r="B126" s="376" t="s">
        <v>290</v>
      </c>
      <c r="C126" s="376" t="s">
        <v>293</v>
      </c>
      <c r="D126" s="404" t="s">
        <v>2</v>
      </c>
      <c r="E126" s="390"/>
      <c r="F126" s="81">
        <v>3700</v>
      </c>
      <c r="G126" s="81">
        <v>3406</v>
      </c>
      <c r="H126" s="81">
        <v>294</v>
      </c>
      <c r="I126" s="100"/>
      <c r="J126" s="81">
        <v>484</v>
      </c>
      <c r="K126" s="81">
        <v>484</v>
      </c>
      <c r="L126" s="81">
        <v>0</v>
      </c>
      <c r="M126" s="100"/>
      <c r="N126" s="81">
        <v>78</v>
      </c>
      <c r="O126" s="81">
        <v>78</v>
      </c>
      <c r="P126" s="81">
        <v>0</v>
      </c>
      <c r="R126" s="219">
        <f t="shared" si="2"/>
        <v>4262</v>
      </c>
      <c r="S126" s="219">
        <f t="shared" si="2"/>
        <v>3968</v>
      </c>
      <c r="T126" s="219">
        <f t="shared" si="2"/>
        <v>294</v>
      </c>
    </row>
    <row r="127" spans="1:20" x14ac:dyDescent="0.2">
      <c r="A127" s="376">
        <v>18250</v>
      </c>
      <c r="B127" s="376" t="s">
        <v>255</v>
      </c>
      <c r="C127" s="376" t="s">
        <v>190</v>
      </c>
      <c r="D127" s="404" t="s">
        <v>4</v>
      </c>
      <c r="E127" s="390"/>
      <c r="F127" s="81">
        <v>6886</v>
      </c>
      <c r="G127" s="81">
        <v>6072</v>
      </c>
      <c r="H127" s="81">
        <v>814</v>
      </c>
      <c r="I127" s="100"/>
      <c r="J127" s="81">
        <v>0</v>
      </c>
      <c r="K127" s="81">
        <v>0</v>
      </c>
      <c r="L127" s="81">
        <v>0</v>
      </c>
      <c r="M127" s="100"/>
      <c r="N127" s="81">
        <v>0</v>
      </c>
      <c r="O127" s="81">
        <v>0</v>
      </c>
      <c r="P127" s="81">
        <v>0</v>
      </c>
      <c r="R127" s="219">
        <f t="shared" si="2"/>
        <v>6886</v>
      </c>
      <c r="S127" s="219">
        <f t="shared" si="2"/>
        <v>6072</v>
      </c>
      <c r="T127" s="219">
        <f t="shared" si="2"/>
        <v>814</v>
      </c>
    </row>
    <row r="128" spans="1:20" x14ac:dyDescent="0.2">
      <c r="A128" s="376">
        <v>18350</v>
      </c>
      <c r="B128" s="376" t="s">
        <v>256</v>
      </c>
      <c r="C128" s="376" t="s">
        <v>291</v>
      </c>
      <c r="D128" s="404" t="s">
        <v>3</v>
      </c>
      <c r="E128" s="390"/>
      <c r="F128" s="81">
        <v>4988.84</v>
      </c>
      <c r="G128" s="81">
        <v>4839.17</v>
      </c>
      <c r="H128" s="81">
        <v>149.66999999999999</v>
      </c>
      <c r="I128" s="100"/>
      <c r="J128" s="81">
        <v>520.03</v>
      </c>
      <c r="K128" s="81">
        <v>509.47999999999996</v>
      </c>
      <c r="L128" s="81">
        <v>10.55</v>
      </c>
      <c r="M128" s="100"/>
      <c r="N128" s="81">
        <v>5.01</v>
      </c>
      <c r="O128" s="81">
        <v>4.01</v>
      </c>
      <c r="P128" s="81">
        <v>1</v>
      </c>
      <c r="R128" s="219">
        <f t="shared" si="2"/>
        <v>5513.88</v>
      </c>
      <c r="S128" s="219">
        <f t="shared" si="2"/>
        <v>5352.66</v>
      </c>
      <c r="T128" s="219">
        <f t="shared" si="2"/>
        <v>161.22</v>
      </c>
    </row>
    <row r="129" spans="1:23" x14ac:dyDescent="0.2">
      <c r="A129" s="376">
        <v>18400</v>
      </c>
      <c r="B129" s="376" t="s">
        <v>257</v>
      </c>
      <c r="C129" s="376" t="s">
        <v>156</v>
      </c>
      <c r="D129" s="404" t="s">
        <v>5</v>
      </c>
      <c r="E129" s="390"/>
      <c r="F129" s="81">
        <v>4773.5600000000004</v>
      </c>
      <c r="G129" s="81">
        <v>4469.4799999999996</v>
      </c>
      <c r="H129" s="81">
        <v>304.08</v>
      </c>
      <c r="I129" s="100"/>
      <c r="J129" s="81">
        <v>2826.7999999999997</v>
      </c>
      <c r="K129" s="81">
        <v>2826.7999999999997</v>
      </c>
      <c r="L129" s="81">
        <v>0</v>
      </c>
      <c r="M129" s="100"/>
      <c r="N129" s="81">
        <v>290.55</v>
      </c>
      <c r="O129" s="81">
        <v>290.55</v>
      </c>
      <c r="P129" s="81">
        <v>0</v>
      </c>
      <c r="R129" s="219">
        <f t="shared" si="2"/>
        <v>7890.9100000000008</v>
      </c>
      <c r="S129" s="219">
        <f t="shared" si="2"/>
        <v>7586.829999999999</v>
      </c>
      <c r="T129" s="219">
        <f t="shared" si="2"/>
        <v>304.08</v>
      </c>
    </row>
    <row r="130" spans="1:23" x14ac:dyDescent="0.2">
      <c r="A130" s="376">
        <v>18450</v>
      </c>
      <c r="B130" s="376" t="s">
        <v>258</v>
      </c>
      <c r="C130" s="376" t="s">
        <v>291</v>
      </c>
      <c r="D130" s="404" t="s">
        <v>3</v>
      </c>
      <c r="E130" s="390"/>
      <c r="F130" s="81">
        <v>19827</v>
      </c>
      <c r="G130" s="81">
        <v>18370</v>
      </c>
      <c r="H130" s="81">
        <v>1457</v>
      </c>
      <c r="I130" s="100"/>
      <c r="J130" s="81">
        <v>2212.94</v>
      </c>
      <c r="K130" s="81">
        <v>2212.94</v>
      </c>
      <c r="L130" s="81">
        <v>0</v>
      </c>
      <c r="M130" s="100"/>
      <c r="N130" s="81">
        <v>702.7</v>
      </c>
      <c r="O130" s="81">
        <v>702.7</v>
      </c>
      <c r="P130" s="81">
        <v>0</v>
      </c>
      <c r="R130" s="219">
        <f t="shared" si="2"/>
        <v>22742.639999999999</v>
      </c>
      <c r="S130" s="219">
        <f t="shared" si="2"/>
        <v>21285.64</v>
      </c>
      <c r="T130" s="219">
        <f t="shared" si="2"/>
        <v>1457</v>
      </c>
    </row>
    <row r="131" spans="1:23" x14ac:dyDescent="0.2">
      <c r="A131" s="376">
        <v>18500</v>
      </c>
      <c r="B131" s="376" t="s">
        <v>259</v>
      </c>
      <c r="C131" s="376" t="s">
        <v>127</v>
      </c>
      <c r="D131" s="404" t="s">
        <v>4</v>
      </c>
      <c r="E131" s="390"/>
      <c r="F131" s="81">
        <v>5679.23</v>
      </c>
      <c r="G131" s="81">
        <v>5293.04</v>
      </c>
      <c r="H131" s="81">
        <v>386.19</v>
      </c>
      <c r="I131" s="100"/>
      <c r="J131" s="81">
        <v>0</v>
      </c>
      <c r="K131" s="81">
        <v>0</v>
      </c>
      <c r="L131" s="81">
        <v>0</v>
      </c>
      <c r="M131" s="100"/>
      <c r="N131" s="81">
        <v>94.25</v>
      </c>
      <c r="O131" s="81">
        <v>11.25</v>
      </c>
      <c r="P131" s="81">
        <v>83</v>
      </c>
      <c r="R131" s="219">
        <f t="shared" si="2"/>
        <v>5773.48</v>
      </c>
      <c r="S131" s="219">
        <f t="shared" si="2"/>
        <v>5304.29</v>
      </c>
      <c r="T131" s="219">
        <f t="shared" si="2"/>
        <v>469.19</v>
      </c>
    </row>
    <row r="132" spans="1:23" x14ac:dyDescent="0.2">
      <c r="A132" s="376">
        <v>18710</v>
      </c>
      <c r="B132" s="376" t="s">
        <v>260</v>
      </c>
      <c r="C132" s="376" t="s">
        <v>704</v>
      </c>
      <c r="D132" s="404" t="s">
        <v>2</v>
      </c>
      <c r="E132" s="390"/>
      <c r="F132" s="81">
        <v>894</v>
      </c>
      <c r="G132" s="81">
        <v>856.81</v>
      </c>
      <c r="H132" s="81">
        <v>37.19</v>
      </c>
      <c r="I132" s="100"/>
      <c r="J132" s="81">
        <v>1929.5700000000002</v>
      </c>
      <c r="K132" s="81">
        <v>1929.5700000000002</v>
      </c>
      <c r="L132" s="81">
        <v>0</v>
      </c>
      <c r="M132" s="100"/>
      <c r="N132" s="81">
        <v>0</v>
      </c>
      <c r="O132" s="81">
        <v>0</v>
      </c>
      <c r="P132" s="81">
        <v>0</v>
      </c>
      <c r="R132" s="219">
        <f t="shared" si="2"/>
        <v>2823.57</v>
      </c>
      <c r="S132" s="219">
        <f t="shared" si="2"/>
        <v>2786.38</v>
      </c>
      <c r="T132" s="219">
        <f t="shared" si="2"/>
        <v>37.19</v>
      </c>
    </row>
    <row r="133" spans="1:23" s="97" customFormat="1" ht="11.25" x14ac:dyDescent="0.2">
      <c r="E133" s="83"/>
      <c r="F133" s="102"/>
      <c r="G133" s="102"/>
      <c r="H133" s="102"/>
      <c r="I133" s="83"/>
      <c r="J133" s="102"/>
      <c r="K133" s="102"/>
      <c r="L133" s="102"/>
      <c r="M133" s="83"/>
      <c r="N133" s="102"/>
      <c r="O133" s="102"/>
      <c r="P133" s="102"/>
      <c r="R133" s="106"/>
      <c r="S133" s="106"/>
      <c r="T133" s="106"/>
    </row>
    <row r="134" spans="1:23" s="22" customFormat="1" ht="11.25" x14ac:dyDescent="0.2">
      <c r="A134" s="614" t="s">
        <v>0</v>
      </c>
      <c r="B134" s="614"/>
      <c r="C134" s="614"/>
      <c r="D134" s="82"/>
      <c r="E134" s="83"/>
      <c r="F134" s="84"/>
      <c r="G134" s="84"/>
      <c r="H134" s="84"/>
      <c r="I134" s="103"/>
      <c r="J134" s="84"/>
      <c r="K134" s="84"/>
      <c r="L134" s="84"/>
      <c r="M134" s="103"/>
      <c r="N134" s="84"/>
      <c r="O134" s="84"/>
      <c r="P134" s="84"/>
      <c r="R134" s="118"/>
      <c r="S134" s="118"/>
      <c r="T134" s="118"/>
      <c r="U134" s="97"/>
      <c r="V134" s="97"/>
    </row>
    <row r="135" spans="1:23" s="22" customFormat="1" ht="15" customHeight="1" x14ac:dyDescent="0.2">
      <c r="A135" s="615" t="s">
        <v>17</v>
      </c>
      <c r="B135" s="616"/>
      <c r="C135" s="617"/>
      <c r="D135" s="82"/>
      <c r="E135" s="83"/>
      <c r="F135" s="85">
        <f>SUM(F5:F132)</f>
        <v>679059.34999999986</v>
      </c>
      <c r="G135" s="85">
        <f>SUM(G5:G132)</f>
        <v>618467.11</v>
      </c>
      <c r="H135" s="85">
        <f>SUM(H5:H132)</f>
        <v>60592.240000000027</v>
      </c>
      <c r="I135" s="104"/>
      <c r="J135" s="85">
        <f>SUM(J5:J132)</f>
        <v>95076.189999999988</v>
      </c>
      <c r="K135" s="85">
        <f>SUM(K5:K132)</f>
        <v>93873.680000000037</v>
      </c>
      <c r="L135" s="85">
        <f>SUM(L5:L132)</f>
        <v>1202.51</v>
      </c>
      <c r="M135" s="104"/>
      <c r="N135" s="85">
        <f>SUM(N5:N132)</f>
        <v>30053.54</v>
      </c>
      <c r="O135" s="85">
        <f>SUM(O5:O132)</f>
        <v>26307.129999999997</v>
      </c>
      <c r="P135" s="85">
        <f>SUM(P5:P132)</f>
        <v>3746.41</v>
      </c>
      <c r="R135" s="119">
        <f>SUM(R5:R132)</f>
        <v>804189.07999999984</v>
      </c>
      <c r="S135" s="119">
        <f>SUM(S5:S132)</f>
        <v>738647.92000000027</v>
      </c>
      <c r="T135" s="119">
        <f>SUM(T5:T132)</f>
        <v>65541.16</v>
      </c>
      <c r="U135" s="97"/>
      <c r="V135" s="97"/>
      <c r="W135" s="437"/>
    </row>
    <row r="136" spans="1:23" s="22" customFormat="1" ht="11.25" x14ac:dyDescent="0.2">
      <c r="B136" s="22" t="s">
        <v>292</v>
      </c>
      <c r="D136" s="82"/>
      <c r="E136" s="83"/>
      <c r="F136" s="84"/>
      <c r="G136" s="84"/>
      <c r="H136" s="246"/>
      <c r="I136" s="103"/>
      <c r="J136" s="84"/>
      <c r="K136" s="84"/>
      <c r="L136" s="84"/>
      <c r="M136" s="103"/>
      <c r="N136" s="84"/>
      <c r="O136" s="84"/>
      <c r="P136" s="84"/>
      <c r="R136" s="236"/>
      <c r="S136" s="236"/>
      <c r="T136" s="236"/>
      <c r="U136" s="97"/>
      <c r="V136" s="97"/>
    </row>
    <row r="137" spans="1:23" s="22" customFormat="1" ht="15" customHeight="1" x14ac:dyDescent="0.2">
      <c r="A137" s="613" t="s">
        <v>18</v>
      </c>
      <c r="B137" s="613"/>
      <c r="C137" s="613"/>
      <c r="D137" s="89"/>
      <c r="E137" s="89">
        <f>SUMIF($D$5:$D$132,"S",E$5:E$132)</f>
        <v>0</v>
      </c>
      <c r="F137" s="89">
        <f>SUMIF($D$5:$D$132,"S",F$5:F$132)</f>
        <v>368293.99999999994</v>
      </c>
      <c r="G137" s="89">
        <f>SUMIF($D$5:$D$132,"S",G$5:G$132)</f>
        <v>329597.11</v>
      </c>
      <c r="H137" s="89">
        <f>SUMIF($D$5:$D$132,"S",H$5:H$132)</f>
        <v>38696.89</v>
      </c>
      <c r="I137" s="103"/>
      <c r="J137" s="89">
        <f>SUMIF($D$5:$D$132,"S",J$5:J$132)</f>
        <v>1955.14</v>
      </c>
      <c r="K137" s="89">
        <f>SUMIF($D$5:$D$132,"S",K$5:K$132)</f>
        <v>1951.45</v>
      </c>
      <c r="L137" s="89">
        <f>SUMIF($D$5:$D$132,"S",L$5:L$132)</f>
        <v>3.69</v>
      </c>
      <c r="M137" s="103"/>
      <c r="N137" s="89">
        <f>SUMIF($D$5:$D$132,"S",N$5:N$132)</f>
        <v>26630.980000000003</v>
      </c>
      <c r="O137" s="89">
        <f>SUMIF($D$5:$D$132,"S",O$5:O$132)</f>
        <v>22885.57</v>
      </c>
      <c r="P137" s="89">
        <f>SUMIF($D$5:$D$132,"S",P$5:P$132)</f>
        <v>3745.41</v>
      </c>
      <c r="R137" s="89">
        <f>SUMIF($D$5:$D$132,"S",R$5:R$132)</f>
        <v>396880.12</v>
      </c>
      <c r="S137" s="89">
        <f>SUMIF($D$5:$D$132,"S",S$5:S$132)</f>
        <v>354434.13</v>
      </c>
      <c r="T137" s="89">
        <f>SUMIF($D$5:$D$132,"S",T$5:T$132)</f>
        <v>42445.990000000005</v>
      </c>
      <c r="U137" s="412"/>
    </row>
    <row r="138" spans="1:23" s="22" customFormat="1" ht="15" customHeight="1" x14ac:dyDescent="0.2">
      <c r="A138" s="613" t="s">
        <v>19</v>
      </c>
      <c r="B138" s="613"/>
      <c r="C138" s="613"/>
      <c r="D138" s="87"/>
      <c r="E138" s="88"/>
      <c r="F138" s="89">
        <f>SUMIF($D$5:$D$132,"E",F$5:F$132)</f>
        <v>144971.00999999998</v>
      </c>
      <c r="G138" s="89">
        <f>SUMIF($D$5:$D$132,"E",G$5:G$132)</f>
        <v>136467.85999999999</v>
      </c>
      <c r="H138" s="89">
        <f>SUMIF($D$5:$D$132,"E",H$5:H$132)</f>
        <v>8503.15</v>
      </c>
      <c r="I138" s="103"/>
      <c r="J138" s="89">
        <f>SUMIF($D$5:$D$132,"E",J$5:J$132)</f>
        <v>25069.039999999997</v>
      </c>
      <c r="K138" s="89">
        <f>SUMIF($D$5:$D$132,"E",K$5:K$132)</f>
        <v>24918.93</v>
      </c>
      <c r="L138" s="89">
        <f>SUMIF($D$5:$D$132,"E",L$5:L$132)</f>
        <v>150.11000000000001</v>
      </c>
      <c r="M138" s="103"/>
      <c r="N138" s="89">
        <f>SUMIF($D$5:$D$132,"E",N$5:N$132)</f>
        <v>1283.6400000000001</v>
      </c>
      <c r="O138" s="89">
        <f>SUMIF($D$5:$D$132,"E",O$5:O$132)</f>
        <v>1282.6400000000001</v>
      </c>
      <c r="P138" s="89">
        <f>SUMIF($D$5:$D$132,"E",P$5:P$132)</f>
        <v>1</v>
      </c>
      <c r="R138" s="89">
        <f>SUMIF($D$5:$D$132,"E",R$5:R$132)</f>
        <v>171323.69</v>
      </c>
      <c r="S138" s="89">
        <f>SUMIF($D$5:$D$132,"E",S$5:S$132)</f>
        <v>162669.43</v>
      </c>
      <c r="T138" s="89">
        <f>SUMIF($D$5:$D$132,"E",T$5:T$132)</f>
        <v>8654.26</v>
      </c>
      <c r="U138" s="412"/>
    </row>
    <row r="139" spans="1:23" s="22" customFormat="1" ht="15" customHeight="1" x14ac:dyDescent="0.2">
      <c r="A139" s="613" t="s">
        <v>20</v>
      </c>
      <c r="B139" s="613"/>
      <c r="C139" s="613"/>
      <c r="D139" s="87"/>
      <c r="E139" s="88"/>
      <c r="F139" s="89">
        <f>SUMIF($D$5:$D$132,"R",F$5:F$132)</f>
        <v>89213.52</v>
      </c>
      <c r="G139" s="89">
        <f>SUMIF($D$5:$D$132,"R",G$5:G$132)</f>
        <v>83204.26999999999</v>
      </c>
      <c r="H139" s="89">
        <f>SUMIF($D$5:$D$132,"R",H$5:H$132)</f>
        <v>6009.25</v>
      </c>
      <c r="I139" s="103"/>
      <c r="J139" s="89">
        <f>SUMIF($D$5:$D$132,"R",J$5:J$132)</f>
        <v>35790.200000000004</v>
      </c>
      <c r="K139" s="89">
        <f>SUMIF($D$5:$D$132,"R",K$5:K$132)</f>
        <v>35652.920000000006</v>
      </c>
      <c r="L139" s="89">
        <f>SUMIF($D$5:$D$132,"R",L$5:L$132)</f>
        <v>137.28</v>
      </c>
      <c r="M139" s="103"/>
      <c r="N139" s="89">
        <f>SUMIF($D$5:$D$132,"R",N$5:N$132)</f>
        <v>1263.45</v>
      </c>
      <c r="O139" s="89">
        <f>SUMIF($D$5:$D$132,"R",O$5:O$132)</f>
        <v>1263.45</v>
      </c>
      <c r="P139" s="89">
        <f>SUMIF($D$5:$D$132,"R",P$5:P$132)</f>
        <v>0</v>
      </c>
      <c r="R139" s="89">
        <f>SUMIF($D$5:$D$132,"R",R$5:R$132)</f>
        <v>126267.17000000001</v>
      </c>
      <c r="S139" s="89">
        <f>SUMIF($D$5:$D$132,"R",S$5:S$132)</f>
        <v>120120.63999999998</v>
      </c>
      <c r="T139" s="89">
        <f>SUMIF($D$5:$D$132,"R",T$5:T$132)</f>
        <v>6146.5300000000007</v>
      </c>
      <c r="U139" s="412"/>
    </row>
    <row r="140" spans="1:23" s="22" customFormat="1" ht="15" customHeight="1" x14ac:dyDescent="0.2">
      <c r="A140" s="613" t="s">
        <v>21</v>
      </c>
      <c r="B140" s="613"/>
      <c r="C140" s="613"/>
      <c r="D140" s="87"/>
      <c r="E140" s="88"/>
      <c r="F140" s="89">
        <f>SUMIF($D$5:$D$132,"N",F$5:F$132)</f>
        <v>76580.820000000007</v>
      </c>
      <c r="G140" s="89">
        <f>SUMIF($D$5:$D$132,"N",G$5:G$132)</f>
        <v>69197.87</v>
      </c>
      <c r="H140" s="89">
        <f>SUMIF($D$5:$D$132,"N",H$5:H$132)</f>
        <v>7382.95</v>
      </c>
      <c r="I140" s="103"/>
      <c r="J140" s="89">
        <f>SUMIF($D$5:$D$132,"N",J$5:J$132)</f>
        <v>32261.810000000009</v>
      </c>
      <c r="K140" s="89">
        <f>SUMIF($D$5:$D$132,"N",K$5:K$132)</f>
        <v>31350.38</v>
      </c>
      <c r="L140" s="89">
        <f>SUMIF($D$5:$D$132,"N",L$5:L$132)</f>
        <v>911.43</v>
      </c>
      <c r="M140" s="103"/>
      <c r="N140" s="89">
        <f>SUMIF($D$5:$D$132,"N",N$5:N$132)</f>
        <v>875.47</v>
      </c>
      <c r="O140" s="89">
        <f>SUMIF($D$5:$D$132,"N",O$5:O$132)</f>
        <v>875.47</v>
      </c>
      <c r="P140" s="89">
        <f>SUMIF($D$5:$D$132,"N",P$5:P$132)</f>
        <v>0</v>
      </c>
      <c r="R140" s="89">
        <f>SUMIF($D$5:$D$132,"N",R$5:R$132)</f>
        <v>109718.09999999999</v>
      </c>
      <c r="S140" s="89">
        <f>SUMIF($D$5:$D$132,"N",S$5:S$132)</f>
        <v>101423.72000000003</v>
      </c>
      <c r="T140" s="89">
        <f>SUMIF($D$5:$D$132,"N",T$5:T$132)</f>
        <v>8294.3800000000028</v>
      </c>
      <c r="U140" s="412"/>
    </row>
    <row r="141" spans="1:23" s="22" customFormat="1" ht="15" customHeight="1" x14ac:dyDescent="0.2">
      <c r="A141" s="439"/>
      <c r="B141" s="439"/>
      <c r="C141" s="439"/>
      <c r="D141" s="87"/>
      <c r="E141" s="88"/>
      <c r="F141" s="338"/>
      <c r="G141" s="338"/>
      <c r="H141" s="338"/>
      <c r="I141" s="103"/>
      <c r="J141" s="338"/>
      <c r="K141" s="338"/>
      <c r="L141" s="338"/>
      <c r="M141" s="103"/>
      <c r="N141" s="338"/>
      <c r="O141" s="338"/>
      <c r="P141" s="338"/>
      <c r="R141" s="338"/>
      <c r="S141" s="338"/>
      <c r="T141" s="338"/>
      <c r="U141" s="412"/>
    </row>
    <row r="142" spans="1:23" s="22" customFormat="1" ht="15" customHeight="1" x14ac:dyDescent="0.2">
      <c r="A142" s="630" t="s">
        <v>17</v>
      </c>
      <c r="B142" s="631"/>
      <c r="C142" s="632"/>
      <c r="D142" s="448"/>
      <c r="E142" s="449"/>
      <c r="F142" s="450">
        <v>685540.0199999999</v>
      </c>
      <c r="G142" s="450">
        <v>627683.69000000006</v>
      </c>
      <c r="H142" s="450">
        <v>57856.330000000024</v>
      </c>
      <c r="I142" s="451"/>
      <c r="J142" s="450">
        <v>107087.28600000004</v>
      </c>
      <c r="K142" s="450">
        <v>97722.436000000031</v>
      </c>
      <c r="L142" s="450">
        <v>9364.8499999999985</v>
      </c>
      <c r="M142" s="451"/>
      <c r="N142" s="450">
        <v>17771.319999999996</v>
      </c>
      <c r="O142" s="450">
        <v>17615.439999999995</v>
      </c>
      <c r="P142" s="450">
        <v>155.88</v>
      </c>
      <c r="Q142" s="452"/>
      <c r="R142" s="221">
        <v>810398.62600000005</v>
      </c>
      <c r="S142" s="221">
        <v>743021.56599999999</v>
      </c>
      <c r="T142" s="221">
        <v>67377.060000000027</v>
      </c>
      <c r="U142" s="412"/>
    </row>
    <row r="143" spans="1:23" s="22" customFormat="1" ht="15" customHeight="1" x14ac:dyDescent="0.2">
      <c r="A143" s="452"/>
      <c r="B143" s="452" t="s">
        <v>110</v>
      </c>
      <c r="C143" s="452"/>
      <c r="D143" s="448"/>
      <c r="E143" s="449"/>
      <c r="F143" s="453"/>
      <c r="G143" s="453"/>
      <c r="H143" s="454"/>
      <c r="I143" s="452"/>
      <c r="J143" s="453"/>
      <c r="K143" s="453"/>
      <c r="L143" s="453"/>
      <c r="M143" s="452"/>
      <c r="N143" s="453"/>
      <c r="O143" s="453"/>
      <c r="P143" s="453"/>
      <c r="Q143" s="452"/>
      <c r="R143" s="455"/>
      <c r="S143" s="455"/>
      <c r="T143" s="455"/>
      <c r="U143" s="412"/>
    </row>
    <row r="144" spans="1:23" s="22" customFormat="1" ht="15" customHeight="1" x14ac:dyDescent="0.2">
      <c r="A144" s="633" t="s">
        <v>18</v>
      </c>
      <c r="B144" s="633"/>
      <c r="C144" s="633"/>
      <c r="D144" s="226"/>
      <c r="E144" s="226">
        <f>SUMIF($D$5:$D$132,"S",E$5:E$132)</f>
        <v>0</v>
      </c>
      <c r="F144" s="226">
        <v>372300.31000000006</v>
      </c>
      <c r="G144" s="226">
        <v>339212.76000000007</v>
      </c>
      <c r="H144" s="226">
        <v>33087.550000000003</v>
      </c>
      <c r="I144" s="452"/>
      <c r="J144" s="226">
        <v>4871.2860000000001</v>
      </c>
      <c r="K144" s="226">
        <v>3544.0160000000001</v>
      </c>
      <c r="L144" s="226">
        <v>1327.27</v>
      </c>
      <c r="M144" s="452"/>
      <c r="N144" s="226">
        <v>13229.7</v>
      </c>
      <c r="O144" s="226">
        <v>13192.05</v>
      </c>
      <c r="P144" s="226">
        <v>37.65</v>
      </c>
      <c r="Q144" s="452"/>
      <c r="R144" s="226">
        <v>390401.29599999997</v>
      </c>
      <c r="S144" s="226">
        <v>355948.826</v>
      </c>
      <c r="T144" s="226">
        <v>34452.470000000008</v>
      </c>
      <c r="U144" s="412"/>
    </row>
    <row r="145" spans="1:21" s="22" customFormat="1" ht="15" customHeight="1" x14ac:dyDescent="0.2">
      <c r="A145" s="633" t="s">
        <v>19</v>
      </c>
      <c r="B145" s="633"/>
      <c r="C145" s="633"/>
      <c r="D145" s="456"/>
      <c r="E145" s="457"/>
      <c r="F145" s="226">
        <v>146660.39000000001</v>
      </c>
      <c r="G145" s="226">
        <v>134705.71</v>
      </c>
      <c r="H145" s="226">
        <v>11954.68</v>
      </c>
      <c r="I145" s="452"/>
      <c r="J145" s="226">
        <v>28754.23</v>
      </c>
      <c r="K145" s="226">
        <v>26302.869999999995</v>
      </c>
      <c r="L145" s="226">
        <v>2451.36</v>
      </c>
      <c r="M145" s="452"/>
      <c r="N145" s="226">
        <v>1795.4099999999999</v>
      </c>
      <c r="O145" s="226">
        <v>1770.4099999999999</v>
      </c>
      <c r="P145" s="226">
        <v>25</v>
      </c>
      <c r="Q145" s="452"/>
      <c r="R145" s="226">
        <v>177210.03</v>
      </c>
      <c r="S145" s="226">
        <v>162778.99000000002</v>
      </c>
      <c r="T145" s="226">
        <v>14431.04</v>
      </c>
      <c r="U145" s="412"/>
    </row>
    <row r="146" spans="1:21" s="22" customFormat="1" ht="15" customHeight="1" x14ac:dyDescent="0.2">
      <c r="A146" s="633" t="s">
        <v>20</v>
      </c>
      <c r="B146" s="633"/>
      <c r="C146" s="633"/>
      <c r="D146" s="456"/>
      <c r="E146" s="457"/>
      <c r="F146" s="226">
        <v>88764.47</v>
      </c>
      <c r="G146" s="226">
        <v>83731.62000000001</v>
      </c>
      <c r="H146" s="226">
        <v>5032.8500000000004</v>
      </c>
      <c r="I146" s="452"/>
      <c r="J146" s="226">
        <v>33081.370000000003</v>
      </c>
      <c r="K146" s="226">
        <v>32754.100000000002</v>
      </c>
      <c r="L146" s="226">
        <v>327.27</v>
      </c>
      <c r="M146" s="452"/>
      <c r="N146" s="226">
        <v>1459.7400000000002</v>
      </c>
      <c r="O146" s="226">
        <v>1459.7400000000002</v>
      </c>
      <c r="P146" s="226">
        <v>0</v>
      </c>
      <c r="Q146" s="452"/>
      <c r="R146" s="226">
        <v>123305.58</v>
      </c>
      <c r="S146" s="226">
        <v>117945.45999999998</v>
      </c>
      <c r="T146" s="226">
        <v>5360.12</v>
      </c>
      <c r="U146" s="412"/>
    </row>
    <row r="147" spans="1:21" s="22" customFormat="1" ht="15" customHeight="1" x14ac:dyDescent="0.2">
      <c r="A147" s="633" t="s">
        <v>21</v>
      </c>
      <c r="B147" s="633"/>
      <c r="C147" s="633"/>
      <c r="D147" s="456"/>
      <c r="E147" s="457"/>
      <c r="F147" s="226">
        <v>77814.850000000006</v>
      </c>
      <c r="G147" s="226">
        <v>70033.599999999991</v>
      </c>
      <c r="H147" s="226">
        <v>7781.2500000000018</v>
      </c>
      <c r="I147" s="452"/>
      <c r="J147" s="226">
        <v>40380.399999999994</v>
      </c>
      <c r="K147" s="226">
        <v>35121.450000000004</v>
      </c>
      <c r="L147" s="226">
        <v>5258.95</v>
      </c>
      <c r="M147" s="452"/>
      <c r="N147" s="226">
        <v>1286.47</v>
      </c>
      <c r="O147" s="226">
        <v>1193.2400000000002</v>
      </c>
      <c r="P147" s="226">
        <v>93.23</v>
      </c>
      <c r="Q147" s="452"/>
      <c r="R147" s="226">
        <v>119481.72</v>
      </c>
      <c r="S147" s="226">
        <v>106348.29000000002</v>
      </c>
      <c r="T147" s="226">
        <v>13133.43</v>
      </c>
      <c r="U147" s="412"/>
    </row>
    <row r="148" spans="1:21" s="22" customFormat="1" ht="15" customHeight="1" x14ac:dyDescent="0.2">
      <c r="A148" s="439"/>
      <c r="B148" s="439"/>
      <c r="C148" s="439"/>
      <c r="D148" s="87"/>
      <c r="E148" s="88"/>
      <c r="F148" s="338"/>
      <c r="G148" s="338"/>
      <c r="H148" s="338"/>
      <c r="I148" s="103"/>
      <c r="J148" s="338"/>
      <c r="K148" s="338"/>
      <c r="L148" s="338"/>
      <c r="M148" s="103"/>
      <c r="N148" s="338"/>
      <c r="O148" s="338"/>
      <c r="P148" s="338"/>
      <c r="R148" s="338"/>
      <c r="S148" s="338"/>
      <c r="T148" s="338"/>
      <c r="U148" s="412"/>
    </row>
    <row r="150" spans="1:21" s="22" customFormat="1" ht="15" customHeight="1" x14ac:dyDescent="0.2">
      <c r="A150" s="597" t="s">
        <v>17</v>
      </c>
      <c r="B150" s="598"/>
      <c r="C150" s="599"/>
      <c r="D150" s="340"/>
      <c r="E150" s="341"/>
      <c r="F150" s="342">
        <v>687514.45999999985</v>
      </c>
      <c r="G150" s="342">
        <v>638603.65000000026</v>
      </c>
      <c r="H150" s="342">
        <v>48910.810000000005</v>
      </c>
      <c r="I150" s="343"/>
      <c r="J150" s="342">
        <v>106330.60000000005</v>
      </c>
      <c r="K150" s="342">
        <v>101481.76000000004</v>
      </c>
      <c r="L150" s="342">
        <v>4848.5300000000007</v>
      </c>
      <c r="M150" s="343"/>
      <c r="N150" s="342">
        <v>16981.393999999997</v>
      </c>
      <c r="O150" s="342">
        <v>16504.433999999997</v>
      </c>
      <c r="P150" s="342">
        <v>476.96</v>
      </c>
      <c r="R150" s="119">
        <f>F150+J150+N150</f>
        <v>810826.45399999991</v>
      </c>
      <c r="S150" s="119">
        <f t="shared" ref="S150:T150" si="3">G150+K150+O150</f>
        <v>756589.84400000027</v>
      </c>
      <c r="T150" s="119">
        <f t="shared" si="3"/>
        <v>54236.3</v>
      </c>
      <c r="U150" s="412"/>
    </row>
    <row r="151" spans="1:21" s="22" customFormat="1" ht="11.25" x14ac:dyDescent="0.2">
      <c r="A151" s="344"/>
      <c r="B151" s="344" t="s">
        <v>87</v>
      </c>
      <c r="C151" s="344"/>
      <c r="D151" s="340"/>
      <c r="E151" s="341"/>
      <c r="F151" s="345"/>
      <c r="G151" s="345"/>
      <c r="H151" s="346"/>
      <c r="I151" s="344"/>
      <c r="J151" s="345"/>
      <c r="K151" s="345"/>
      <c r="L151" s="345"/>
      <c r="M151" s="344"/>
      <c r="N151" s="345"/>
      <c r="O151" s="345"/>
      <c r="P151" s="345"/>
      <c r="R151" s="236"/>
      <c r="S151" s="236"/>
      <c r="T151" s="236"/>
    </row>
    <row r="152" spans="1:21" s="22" customFormat="1" ht="15" customHeight="1" x14ac:dyDescent="0.2">
      <c r="A152" s="600" t="s">
        <v>18</v>
      </c>
      <c r="B152" s="600"/>
      <c r="C152" s="600"/>
      <c r="D152" s="347"/>
      <c r="E152" s="347">
        <f>SUMIF($C$5:$C$132,"S",E$5:E$132)</f>
        <v>0</v>
      </c>
      <c r="F152" s="347">
        <v>369704.00000000006</v>
      </c>
      <c r="G152" s="347">
        <v>341422.31</v>
      </c>
      <c r="H152" s="347">
        <v>28281.689999999991</v>
      </c>
      <c r="I152" s="344"/>
      <c r="J152" s="347">
        <v>2183.08</v>
      </c>
      <c r="K152" s="347">
        <v>2172.4499999999998</v>
      </c>
      <c r="L152" s="347">
        <v>10.63</v>
      </c>
      <c r="M152" s="344"/>
      <c r="N152" s="347">
        <v>12431.933999999999</v>
      </c>
      <c r="O152" s="347">
        <v>11976.223999999998</v>
      </c>
      <c r="P152" s="347">
        <v>455.71</v>
      </c>
      <c r="R152" s="89">
        <f t="shared" ref="R152:R155" si="4">F152+J152+N152</f>
        <v>384319.01400000008</v>
      </c>
      <c r="S152" s="89">
        <f t="shared" ref="S152:S155" si="5">G152+K152+O152</f>
        <v>355570.984</v>
      </c>
      <c r="T152" s="89">
        <f t="shared" ref="T152:T155" si="6">H152+L152+P152</f>
        <v>28748.029999999992</v>
      </c>
      <c r="U152" s="412"/>
    </row>
    <row r="153" spans="1:21" s="22" customFormat="1" ht="15" customHeight="1" x14ac:dyDescent="0.2">
      <c r="A153" s="600" t="s">
        <v>19</v>
      </c>
      <c r="B153" s="600"/>
      <c r="C153" s="600"/>
      <c r="D153" s="348"/>
      <c r="E153" s="349"/>
      <c r="F153" s="347">
        <v>147520.5</v>
      </c>
      <c r="G153" s="347">
        <v>139489.72</v>
      </c>
      <c r="H153" s="347">
        <v>8030.7800000000007</v>
      </c>
      <c r="I153" s="344"/>
      <c r="J153" s="347">
        <v>20529.609999999997</v>
      </c>
      <c r="K153" s="347">
        <v>20475.649999999998</v>
      </c>
      <c r="L153" s="347">
        <v>53.96</v>
      </c>
      <c r="M153" s="344"/>
      <c r="N153" s="347">
        <v>1988.84</v>
      </c>
      <c r="O153" s="347">
        <v>1987.99</v>
      </c>
      <c r="P153" s="347">
        <v>0.85000000000000042</v>
      </c>
      <c r="R153" s="89">
        <f t="shared" si="4"/>
        <v>170038.94999999998</v>
      </c>
      <c r="S153" s="89">
        <f t="shared" si="5"/>
        <v>161953.35999999999</v>
      </c>
      <c r="T153" s="89">
        <f t="shared" si="6"/>
        <v>8085.5900000000011</v>
      </c>
      <c r="U153" s="412"/>
    </row>
    <row r="154" spans="1:21" s="22" customFormat="1" ht="15" customHeight="1" x14ac:dyDescent="0.2">
      <c r="A154" s="600" t="s">
        <v>20</v>
      </c>
      <c r="B154" s="600"/>
      <c r="C154" s="600"/>
      <c r="D154" s="348"/>
      <c r="E154" s="349"/>
      <c r="F154" s="347">
        <v>83224.44</v>
      </c>
      <c r="G154" s="347">
        <v>78992.170000000013</v>
      </c>
      <c r="H154" s="347">
        <v>4232.2699999999995</v>
      </c>
      <c r="I154" s="344"/>
      <c r="J154" s="347">
        <v>38744.71</v>
      </c>
      <c r="K154" s="347">
        <v>36411.24</v>
      </c>
      <c r="L154" s="347">
        <v>2333.4599999999996</v>
      </c>
      <c r="M154" s="344"/>
      <c r="N154" s="347">
        <v>1349.48</v>
      </c>
      <c r="O154" s="347">
        <v>1349.48</v>
      </c>
      <c r="P154" s="347">
        <v>0</v>
      </c>
      <c r="R154" s="89">
        <f t="shared" si="4"/>
        <v>123318.62999999999</v>
      </c>
      <c r="S154" s="89">
        <f t="shared" si="5"/>
        <v>116752.89</v>
      </c>
      <c r="T154" s="89">
        <f t="shared" si="6"/>
        <v>6565.73</v>
      </c>
      <c r="U154" s="412"/>
    </row>
    <row r="155" spans="1:21" s="22" customFormat="1" ht="15" customHeight="1" x14ac:dyDescent="0.2">
      <c r="A155" s="600" t="s">
        <v>21</v>
      </c>
      <c r="B155" s="600"/>
      <c r="C155" s="600"/>
      <c r="D155" s="348"/>
      <c r="E155" s="349"/>
      <c r="F155" s="347">
        <v>87065.51999999999</v>
      </c>
      <c r="G155" s="347">
        <v>78699.449999999983</v>
      </c>
      <c r="H155" s="347">
        <v>8366.07</v>
      </c>
      <c r="I155" s="344"/>
      <c r="J155" s="347">
        <v>44873.200000000004</v>
      </c>
      <c r="K155" s="347">
        <v>42422.420000000006</v>
      </c>
      <c r="L155" s="347">
        <v>2450.4800000000005</v>
      </c>
      <c r="M155" s="344"/>
      <c r="N155" s="347">
        <v>1211.1400000000001</v>
      </c>
      <c r="O155" s="347">
        <v>1190.74</v>
      </c>
      <c r="P155" s="347">
        <v>20.399999999999999</v>
      </c>
      <c r="R155" s="89">
        <f t="shared" si="4"/>
        <v>133149.86000000002</v>
      </c>
      <c r="S155" s="89">
        <f t="shared" si="5"/>
        <v>122312.61</v>
      </c>
      <c r="T155" s="89">
        <f t="shared" si="6"/>
        <v>10836.949999999999</v>
      </c>
      <c r="U155" s="412"/>
    </row>
    <row r="157" spans="1:21" x14ac:dyDescent="0.2">
      <c r="A157" s="618" t="s">
        <v>17</v>
      </c>
      <c r="B157" s="619"/>
      <c r="C157" s="620"/>
      <c r="F157" s="229">
        <v>686938.75999999989</v>
      </c>
      <c r="G157" s="229">
        <v>637528.64999999991</v>
      </c>
      <c r="H157" s="229">
        <v>49410.109999999986</v>
      </c>
      <c r="I157" s="248"/>
      <c r="J157" s="229">
        <v>80437.433539999969</v>
      </c>
      <c r="K157" s="229">
        <v>78871.828739999968</v>
      </c>
      <c r="L157" s="229">
        <v>1565.6048000000001</v>
      </c>
      <c r="M157" s="248"/>
      <c r="N157" s="229">
        <v>16389.834999999999</v>
      </c>
      <c r="O157" s="229">
        <v>15827.454999999998</v>
      </c>
      <c r="P157" s="229">
        <v>562.12</v>
      </c>
      <c r="R157" s="119">
        <f>F157+J157+N157</f>
        <v>783766.02853999985</v>
      </c>
      <c r="S157" s="119">
        <f t="shared" ref="S157:S162" si="7">G157+K157+O157</f>
        <v>732227.93373999989</v>
      </c>
      <c r="T157" s="119">
        <f t="shared" ref="T157:T162" si="8">H157+L157+P157</f>
        <v>51537.83479999999</v>
      </c>
      <c r="U157" s="412"/>
    </row>
    <row r="158" spans="1:21" x14ac:dyDescent="0.2">
      <c r="A158" s="232"/>
      <c r="B158" s="232" t="s">
        <v>86</v>
      </c>
      <c r="C158" s="232"/>
      <c r="F158" s="78"/>
      <c r="G158" s="78"/>
      <c r="H158" s="78"/>
      <c r="I158" s="78"/>
      <c r="J158" s="78"/>
      <c r="K158" s="78"/>
      <c r="L158" s="78"/>
      <c r="M158" s="78"/>
      <c r="R158" s="236"/>
      <c r="S158" s="236"/>
      <c r="T158" s="236"/>
    </row>
    <row r="159" spans="1:21" x14ac:dyDescent="0.2">
      <c r="A159" s="621" t="s">
        <v>18</v>
      </c>
      <c r="B159" s="621"/>
      <c r="C159" s="621"/>
      <c r="F159" s="234">
        <v>374875.77</v>
      </c>
      <c r="G159" s="234">
        <v>347260.35000000003</v>
      </c>
      <c r="H159" s="234">
        <v>27615.420000000002</v>
      </c>
      <c r="I159" s="232"/>
      <c r="J159" s="234">
        <v>2568.2849259999998</v>
      </c>
      <c r="K159" s="234">
        <v>2561.5249259999996</v>
      </c>
      <c r="L159" s="234">
        <v>6.76</v>
      </c>
      <c r="M159" s="232"/>
      <c r="N159" s="234">
        <v>11404.33</v>
      </c>
      <c r="O159" s="234">
        <v>11255.73</v>
      </c>
      <c r="P159" s="234">
        <v>148.6</v>
      </c>
      <c r="R159" s="89">
        <f t="shared" ref="R159:R162" si="9">F159+J159+N159</f>
        <v>388848.38492600003</v>
      </c>
      <c r="S159" s="89">
        <f t="shared" si="7"/>
        <v>361077.604926</v>
      </c>
      <c r="T159" s="89">
        <f t="shared" si="8"/>
        <v>27770.78</v>
      </c>
      <c r="U159" s="412"/>
    </row>
    <row r="160" spans="1:21" x14ac:dyDescent="0.2">
      <c r="A160" s="621" t="s">
        <v>19</v>
      </c>
      <c r="B160" s="621"/>
      <c r="C160" s="621"/>
      <c r="F160" s="234">
        <v>145432.46</v>
      </c>
      <c r="G160" s="234">
        <v>136951.83999999997</v>
      </c>
      <c r="H160" s="234">
        <v>8480.619999999999</v>
      </c>
      <c r="I160" s="232"/>
      <c r="J160" s="234">
        <v>19680.835339999998</v>
      </c>
      <c r="K160" s="234">
        <v>19568.77534</v>
      </c>
      <c r="L160" s="234">
        <v>112.06</v>
      </c>
      <c r="M160" s="232"/>
      <c r="N160" s="234">
        <v>2036.9649999999999</v>
      </c>
      <c r="O160" s="234">
        <v>2032.4449999999999</v>
      </c>
      <c r="P160" s="234">
        <v>4.5199999999999996</v>
      </c>
      <c r="R160" s="89">
        <f t="shared" si="9"/>
        <v>167150.26033999998</v>
      </c>
      <c r="S160" s="89">
        <f t="shared" si="7"/>
        <v>158553.06033999997</v>
      </c>
      <c r="T160" s="89">
        <f t="shared" si="8"/>
        <v>8597.1999999999989</v>
      </c>
      <c r="U160" s="412"/>
    </row>
    <row r="161" spans="1:21" x14ac:dyDescent="0.2">
      <c r="A161" s="621" t="s">
        <v>20</v>
      </c>
      <c r="B161" s="621"/>
      <c r="C161" s="621"/>
      <c r="F161" s="234">
        <v>84300.34</v>
      </c>
      <c r="G161" s="234">
        <v>79000.91</v>
      </c>
      <c r="H161" s="234">
        <v>5299.4299999999994</v>
      </c>
      <c r="I161" s="232"/>
      <c r="J161" s="234">
        <v>27221.148804</v>
      </c>
      <c r="K161" s="234">
        <v>27101.608804</v>
      </c>
      <c r="L161" s="234">
        <v>119.53999999999999</v>
      </c>
      <c r="M161" s="232"/>
      <c r="N161" s="234">
        <v>1919.6399999999999</v>
      </c>
      <c r="O161" s="234">
        <v>1579.6399999999999</v>
      </c>
      <c r="P161" s="234">
        <v>340</v>
      </c>
      <c r="R161" s="89">
        <f t="shared" si="9"/>
        <v>113441.12880399999</v>
      </c>
      <c r="S161" s="89">
        <f t="shared" si="7"/>
        <v>107682.15880400001</v>
      </c>
      <c r="T161" s="89">
        <f t="shared" si="8"/>
        <v>5758.9699999999993</v>
      </c>
      <c r="U161" s="412"/>
    </row>
    <row r="162" spans="1:21" x14ac:dyDescent="0.2">
      <c r="A162" s="621" t="s">
        <v>21</v>
      </c>
      <c r="B162" s="621"/>
      <c r="C162" s="621"/>
      <c r="F162" s="234">
        <v>82330.189999999988</v>
      </c>
      <c r="G162" s="234">
        <v>74315.549999999974</v>
      </c>
      <c r="H162" s="234">
        <v>8014.6399999999985</v>
      </c>
      <c r="I162" s="232"/>
      <c r="J162" s="234">
        <v>30967.164470000003</v>
      </c>
      <c r="K162" s="234">
        <v>29639.919669999999</v>
      </c>
      <c r="L162" s="234">
        <v>1327.2448000000002</v>
      </c>
      <c r="M162" s="232"/>
      <c r="N162" s="234">
        <v>1028.9000000000001</v>
      </c>
      <c r="O162" s="234">
        <v>959.64</v>
      </c>
      <c r="P162" s="234">
        <v>69</v>
      </c>
      <c r="R162" s="89">
        <f t="shared" si="9"/>
        <v>114326.25446999999</v>
      </c>
      <c r="S162" s="89">
        <f t="shared" si="7"/>
        <v>104915.10966999998</v>
      </c>
      <c r="T162" s="89">
        <f t="shared" si="8"/>
        <v>9410.884799999998</v>
      </c>
      <c r="U162" s="412"/>
    </row>
    <row r="164" spans="1:21" x14ac:dyDescent="0.2">
      <c r="F164" s="259"/>
      <c r="J164" s="258"/>
    </row>
    <row r="165" spans="1:21" x14ac:dyDescent="0.2">
      <c r="F165" s="259"/>
    </row>
    <row r="166" spans="1:21" x14ac:dyDescent="0.2">
      <c r="F166" s="259"/>
    </row>
  </sheetData>
  <mergeCells count="26">
    <mergeCell ref="A1:P1"/>
    <mergeCell ref="F3:H3"/>
    <mergeCell ref="J3:L3"/>
    <mergeCell ref="N3:P3"/>
    <mergeCell ref="A134:C134"/>
    <mergeCell ref="A140:C140"/>
    <mergeCell ref="A150:C150"/>
    <mergeCell ref="A162:C162"/>
    <mergeCell ref="A152:C152"/>
    <mergeCell ref="A153:C153"/>
    <mergeCell ref="A154:C154"/>
    <mergeCell ref="A155:C155"/>
    <mergeCell ref="A157:C157"/>
    <mergeCell ref="A159:C159"/>
    <mergeCell ref="A160:C160"/>
    <mergeCell ref="A161:C161"/>
    <mergeCell ref="A142:C142"/>
    <mergeCell ref="A144:C144"/>
    <mergeCell ref="A145:C145"/>
    <mergeCell ref="A146:C146"/>
    <mergeCell ref="A147:C147"/>
    <mergeCell ref="R3:T3"/>
    <mergeCell ref="A135:C135"/>
    <mergeCell ref="A137:C137"/>
    <mergeCell ref="A138:C138"/>
    <mergeCell ref="A139:C139"/>
  </mergeCells>
  <hyperlinks>
    <hyperlink ref="D62" location="'2009-10'!A160" display="Bottom" xr:uid="{00000000-0004-0000-0300-000000000000}"/>
  </hyperlinks>
  <printOptions horizontalCentered="1"/>
  <pageMargins left="0.25" right="0.25" top="0.75" bottom="0.75" header="0.3" footer="0.3"/>
  <pageSetup paperSize="9" scale="75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66"/>
  <sheetViews>
    <sheetView zoomScaleNormal="100" zoomScaleSheetLayoutView="100" workbookViewId="0">
      <pane xSplit="4" ySplit="4" topLeftCell="E107" activePane="bottomRight" state="frozen"/>
      <selection activeCell="B36" sqref="B36"/>
      <selection pane="topRight" activeCell="B36" sqref="B36"/>
      <selection pane="bottomLeft" activeCell="B36" sqref="B36"/>
      <selection pane="bottomRight" activeCell="C24" sqref="C24"/>
    </sheetView>
  </sheetViews>
  <sheetFormatPr defaultRowHeight="12.75" x14ac:dyDescent="0.2"/>
  <cols>
    <col min="1" max="1" width="8" style="78" bestFit="1" customWidth="1"/>
    <col min="2" max="2" width="26" style="78" bestFit="1" customWidth="1"/>
    <col min="3" max="3" width="15.140625" style="78" bestFit="1" customWidth="1"/>
    <col min="4" max="4" width="3" style="94" bestFit="1" customWidth="1"/>
    <col min="5" max="5" width="1.7109375" style="95" customWidth="1"/>
    <col min="6" max="6" width="8.42578125" style="96" bestFit="1" customWidth="1"/>
    <col min="7" max="7" width="8.28515625" style="96" bestFit="1" customWidth="1"/>
    <col min="8" max="8" width="8.42578125" style="96" bestFit="1" customWidth="1"/>
    <col min="9" max="9" width="0.85546875" style="105" customWidth="1"/>
    <col min="10" max="10" width="8.42578125" style="96" bestFit="1" customWidth="1"/>
    <col min="11" max="11" width="9.28515625" style="96" customWidth="1"/>
    <col min="12" max="12" width="8.42578125" style="96" bestFit="1" customWidth="1"/>
    <col min="13" max="13" width="0.85546875" style="105" customWidth="1"/>
    <col min="14" max="14" width="8.42578125" style="78" bestFit="1" customWidth="1"/>
    <col min="15" max="15" width="9.42578125" style="78" bestFit="1" customWidth="1"/>
    <col min="16" max="16" width="8.42578125" style="78" bestFit="1" customWidth="1"/>
    <col min="17" max="17" width="1.7109375" style="78" customWidth="1"/>
    <col min="21" max="16384" width="9.140625" style="78"/>
  </cols>
  <sheetData>
    <row r="1" spans="1:20" s="62" customFormat="1" ht="15.75" x14ac:dyDescent="0.25">
      <c r="A1" s="601" t="s">
        <v>298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R1" s="20"/>
      <c r="S1" s="20"/>
      <c r="T1" s="20"/>
    </row>
    <row r="2" spans="1:20" s="68" customFormat="1" ht="15.75" x14ac:dyDescent="0.25">
      <c r="A2" s="63"/>
      <c r="B2" s="64"/>
      <c r="C2" s="64"/>
      <c r="D2" s="64"/>
      <c r="E2" s="65"/>
      <c r="F2" s="65"/>
      <c r="G2" s="65"/>
      <c r="H2" s="65"/>
      <c r="I2" s="64"/>
      <c r="J2" s="65"/>
      <c r="K2" s="65"/>
      <c r="L2" s="65"/>
      <c r="M2" s="64"/>
      <c r="N2" s="65"/>
      <c r="O2" s="65"/>
      <c r="P2" s="65"/>
      <c r="R2" s="15"/>
      <c r="S2" s="15"/>
      <c r="T2" s="15"/>
    </row>
    <row r="3" spans="1:20" s="73" customFormat="1" ht="15.75" customHeight="1" x14ac:dyDescent="0.25">
      <c r="A3" s="69"/>
      <c r="B3" s="70"/>
      <c r="C3" s="64"/>
      <c r="D3" s="71"/>
      <c r="E3" s="98"/>
      <c r="F3" s="636" t="s">
        <v>51</v>
      </c>
      <c r="G3" s="637"/>
      <c r="H3" s="637"/>
      <c r="I3" s="71"/>
      <c r="J3" s="636" t="s">
        <v>52</v>
      </c>
      <c r="K3" s="638"/>
      <c r="L3" s="638"/>
      <c r="M3" s="71"/>
      <c r="N3" s="636" t="s">
        <v>53</v>
      </c>
      <c r="O3" s="637"/>
      <c r="P3" s="637"/>
      <c r="R3" s="634" t="s">
        <v>122</v>
      </c>
      <c r="S3" s="635"/>
      <c r="T3" s="635"/>
    </row>
    <row r="4" spans="1:20" ht="74.25" x14ac:dyDescent="0.25">
      <c r="A4" s="364" t="s">
        <v>285</v>
      </c>
      <c r="B4" s="445" t="s">
        <v>286</v>
      </c>
      <c r="C4" s="444" t="s">
        <v>108</v>
      </c>
      <c r="D4" s="446" t="s">
        <v>11</v>
      </c>
      <c r="E4" s="98"/>
      <c r="F4" s="447" t="s">
        <v>287</v>
      </c>
      <c r="G4" s="447" t="s">
        <v>288</v>
      </c>
      <c r="H4" s="447" t="s">
        <v>289</v>
      </c>
      <c r="I4" s="99"/>
      <c r="J4" s="447" t="s">
        <v>287</v>
      </c>
      <c r="K4" s="447" t="s">
        <v>288</v>
      </c>
      <c r="L4" s="447" t="s">
        <v>289</v>
      </c>
      <c r="M4" s="99"/>
      <c r="N4" s="447" t="s">
        <v>287</v>
      </c>
      <c r="O4" s="447" t="s">
        <v>288</v>
      </c>
      <c r="P4" s="447" t="s">
        <v>289</v>
      </c>
      <c r="R4" s="447" t="s">
        <v>287</v>
      </c>
      <c r="S4" s="447" t="s">
        <v>288</v>
      </c>
      <c r="T4" s="447" t="s">
        <v>289</v>
      </c>
    </row>
    <row r="5" spans="1:20" x14ac:dyDescent="0.2">
      <c r="A5" s="377">
        <v>10050</v>
      </c>
      <c r="B5" s="377" t="s">
        <v>124</v>
      </c>
      <c r="C5" s="377" t="s">
        <v>703</v>
      </c>
      <c r="D5" s="404" t="s">
        <v>2</v>
      </c>
      <c r="E5" s="390"/>
      <c r="F5" s="81">
        <v>10033.58</v>
      </c>
      <c r="G5" s="81">
        <v>9821.7999999999993</v>
      </c>
      <c r="H5" s="81">
        <v>211.78</v>
      </c>
      <c r="I5" s="100"/>
      <c r="J5" s="81">
        <v>2912.19</v>
      </c>
      <c r="K5" s="81">
        <v>2912.19</v>
      </c>
      <c r="L5" s="81">
        <v>0</v>
      </c>
      <c r="M5" s="100"/>
      <c r="N5" s="81">
        <v>0</v>
      </c>
      <c r="O5" s="81">
        <v>0</v>
      </c>
      <c r="P5" s="81">
        <v>0</v>
      </c>
      <c r="R5" s="219">
        <f>F5+J5+N5</f>
        <v>12945.77</v>
      </c>
      <c r="S5" s="219">
        <f t="shared" ref="S5:T5" si="0">G5+K5+O5</f>
        <v>12733.99</v>
      </c>
      <c r="T5" s="219">
        <f t="shared" si="0"/>
        <v>211.78</v>
      </c>
    </row>
    <row r="6" spans="1:20" x14ac:dyDescent="0.2">
      <c r="A6" s="376">
        <v>10130</v>
      </c>
      <c r="B6" s="376" t="s">
        <v>126</v>
      </c>
      <c r="C6" s="376" t="s">
        <v>125</v>
      </c>
      <c r="D6" s="404" t="s">
        <v>2</v>
      </c>
      <c r="E6" s="390"/>
      <c r="F6" s="81">
        <v>2302.7600000000002</v>
      </c>
      <c r="G6" s="81">
        <v>2300.19</v>
      </c>
      <c r="H6" s="81">
        <v>2.57</v>
      </c>
      <c r="I6" s="100"/>
      <c r="J6" s="81">
        <v>0</v>
      </c>
      <c r="K6" s="81">
        <v>0</v>
      </c>
      <c r="L6" s="81">
        <v>0</v>
      </c>
      <c r="M6" s="100"/>
      <c r="N6" s="81">
        <v>0</v>
      </c>
      <c r="O6" s="81">
        <v>0</v>
      </c>
      <c r="P6" s="81">
        <v>0</v>
      </c>
      <c r="R6" s="219">
        <f t="shared" ref="R6:R69" si="1">F6+J6+N6</f>
        <v>2302.7600000000002</v>
      </c>
      <c r="S6" s="219">
        <f t="shared" ref="S6:S69" si="2">G6+K6+O6</f>
        <v>2300.19</v>
      </c>
      <c r="T6" s="219">
        <f t="shared" ref="T6:T69" si="3">H6+L6+P6</f>
        <v>2.57</v>
      </c>
    </row>
    <row r="7" spans="1:20" x14ac:dyDescent="0.2">
      <c r="A7" s="376">
        <v>10250</v>
      </c>
      <c r="B7" s="376" t="s">
        <v>132</v>
      </c>
      <c r="C7" s="376" t="s">
        <v>131</v>
      </c>
      <c r="D7" s="404" t="s">
        <v>5</v>
      </c>
      <c r="E7" s="390"/>
      <c r="F7" s="81">
        <v>6160.27</v>
      </c>
      <c r="G7" s="81">
        <v>6160.27</v>
      </c>
      <c r="H7" s="81">
        <v>0</v>
      </c>
      <c r="I7" s="100"/>
      <c r="J7" s="81">
        <v>1282</v>
      </c>
      <c r="K7" s="81">
        <v>1282</v>
      </c>
      <c r="L7" s="81">
        <v>0</v>
      </c>
      <c r="M7" s="100"/>
      <c r="N7" s="81">
        <v>0</v>
      </c>
      <c r="O7" s="81">
        <v>0</v>
      </c>
      <c r="P7" s="81">
        <v>0</v>
      </c>
      <c r="R7" s="219">
        <f t="shared" si="1"/>
        <v>7442.27</v>
      </c>
      <c r="S7" s="219">
        <f t="shared" si="2"/>
        <v>7442.27</v>
      </c>
      <c r="T7" s="219">
        <f t="shared" si="3"/>
        <v>0</v>
      </c>
    </row>
    <row r="8" spans="1:20" x14ac:dyDescent="0.2">
      <c r="A8" s="376">
        <v>10300</v>
      </c>
      <c r="B8" s="376" t="s">
        <v>133</v>
      </c>
      <c r="C8" s="376" t="s">
        <v>703</v>
      </c>
      <c r="D8" s="404" t="s">
        <v>2</v>
      </c>
      <c r="E8" s="390"/>
      <c r="F8" s="81">
        <v>0</v>
      </c>
      <c r="G8" s="81">
        <v>0</v>
      </c>
      <c r="H8" s="81">
        <v>0</v>
      </c>
      <c r="I8" s="100"/>
      <c r="J8" s="81">
        <v>0</v>
      </c>
      <c r="K8" s="81">
        <v>0</v>
      </c>
      <c r="L8" s="81">
        <v>0</v>
      </c>
      <c r="M8" s="100"/>
      <c r="N8" s="81">
        <v>0</v>
      </c>
      <c r="O8" s="81">
        <v>0</v>
      </c>
      <c r="P8" s="81">
        <v>0</v>
      </c>
      <c r="R8" s="219">
        <f t="shared" si="1"/>
        <v>0</v>
      </c>
      <c r="S8" s="219">
        <f t="shared" si="2"/>
        <v>0</v>
      </c>
      <c r="T8" s="219">
        <f t="shared" si="3"/>
        <v>0</v>
      </c>
    </row>
    <row r="9" spans="1:20" x14ac:dyDescent="0.2">
      <c r="A9" s="376">
        <v>10470</v>
      </c>
      <c r="B9" s="376" t="s">
        <v>135</v>
      </c>
      <c r="C9" s="376" t="s">
        <v>293</v>
      </c>
      <c r="D9" s="404" t="s">
        <v>2</v>
      </c>
      <c r="E9" s="390"/>
      <c r="F9" s="81">
        <v>4019.01</v>
      </c>
      <c r="G9" s="81">
        <v>4015.01</v>
      </c>
      <c r="H9" s="81">
        <v>4</v>
      </c>
      <c r="I9" s="100"/>
      <c r="J9" s="81">
        <v>2337.71</v>
      </c>
      <c r="K9" s="81">
        <v>2337.71</v>
      </c>
      <c r="L9" s="81">
        <v>0</v>
      </c>
      <c r="M9" s="100"/>
      <c r="N9" s="81">
        <v>0</v>
      </c>
      <c r="O9" s="81">
        <v>0</v>
      </c>
      <c r="P9" s="81">
        <v>0</v>
      </c>
      <c r="R9" s="219">
        <f t="shared" si="1"/>
        <v>6356.72</v>
      </c>
      <c r="S9" s="219">
        <f t="shared" si="2"/>
        <v>6352.72</v>
      </c>
      <c r="T9" s="219">
        <f t="shared" si="3"/>
        <v>4</v>
      </c>
    </row>
    <row r="10" spans="1:20" x14ac:dyDescent="0.2">
      <c r="A10" s="376">
        <v>10500</v>
      </c>
      <c r="B10" s="376" t="s">
        <v>149</v>
      </c>
      <c r="C10" s="376" t="s">
        <v>127</v>
      </c>
      <c r="D10" s="404" t="s">
        <v>4</v>
      </c>
      <c r="E10" s="390"/>
      <c r="F10" s="81">
        <v>1793</v>
      </c>
      <c r="G10" s="81">
        <v>1638</v>
      </c>
      <c r="H10" s="81">
        <v>155</v>
      </c>
      <c r="I10" s="100"/>
      <c r="J10" s="81">
        <v>38</v>
      </c>
      <c r="K10" s="81">
        <v>38</v>
      </c>
      <c r="L10" s="81">
        <v>0</v>
      </c>
      <c r="M10" s="100"/>
      <c r="N10" s="81">
        <v>0</v>
      </c>
      <c r="O10" s="81">
        <v>0</v>
      </c>
      <c r="P10" s="81">
        <v>0</v>
      </c>
      <c r="R10" s="219">
        <f t="shared" si="1"/>
        <v>1831</v>
      </c>
      <c r="S10" s="219">
        <f t="shared" si="2"/>
        <v>1676</v>
      </c>
      <c r="T10" s="219">
        <f t="shared" si="3"/>
        <v>155</v>
      </c>
    </row>
    <row r="11" spans="1:20" x14ac:dyDescent="0.2">
      <c r="A11" s="376">
        <v>10550</v>
      </c>
      <c r="B11" s="376" t="s">
        <v>138</v>
      </c>
      <c r="C11" s="376" t="s">
        <v>704</v>
      </c>
      <c r="D11" s="404" t="s">
        <v>2</v>
      </c>
      <c r="E11" s="390"/>
      <c r="F11" s="81">
        <v>1984</v>
      </c>
      <c r="G11" s="81">
        <v>1970</v>
      </c>
      <c r="H11" s="81">
        <v>14</v>
      </c>
      <c r="I11" s="100"/>
      <c r="J11" s="81">
        <v>1677</v>
      </c>
      <c r="K11" s="81">
        <v>1677</v>
      </c>
      <c r="L11" s="81">
        <v>0</v>
      </c>
      <c r="M11" s="100"/>
      <c r="N11" s="81">
        <v>0</v>
      </c>
      <c r="O11" s="81">
        <v>0</v>
      </c>
      <c r="P11" s="81">
        <v>0</v>
      </c>
      <c r="R11" s="219">
        <f t="shared" si="1"/>
        <v>3661</v>
      </c>
      <c r="S11" s="219">
        <f t="shared" si="2"/>
        <v>3647</v>
      </c>
      <c r="T11" s="219">
        <f t="shared" si="3"/>
        <v>14</v>
      </c>
    </row>
    <row r="12" spans="1:20" x14ac:dyDescent="0.2">
      <c r="A12" s="376">
        <v>10600</v>
      </c>
      <c r="B12" s="376" t="s">
        <v>139</v>
      </c>
      <c r="C12" s="376" t="s">
        <v>294</v>
      </c>
      <c r="D12" s="404" t="s">
        <v>5</v>
      </c>
      <c r="E12" s="390"/>
      <c r="F12" s="81">
        <v>1409.88</v>
      </c>
      <c r="G12" s="81">
        <v>1369.88</v>
      </c>
      <c r="H12" s="81">
        <v>40</v>
      </c>
      <c r="I12" s="100"/>
      <c r="J12" s="81">
        <v>612.9</v>
      </c>
      <c r="K12" s="81">
        <v>612.9</v>
      </c>
      <c r="L12" s="81">
        <v>0</v>
      </c>
      <c r="M12" s="100"/>
      <c r="N12" s="81">
        <v>0</v>
      </c>
      <c r="O12" s="81">
        <v>0</v>
      </c>
      <c r="P12" s="81">
        <v>0</v>
      </c>
      <c r="R12" s="219">
        <f t="shared" si="1"/>
        <v>2022.7800000000002</v>
      </c>
      <c r="S12" s="219">
        <f t="shared" si="2"/>
        <v>1982.7800000000002</v>
      </c>
      <c r="T12" s="219">
        <f t="shared" si="3"/>
        <v>40</v>
      </c>
    </row>
    <row r="13" spans="1:20" x14ac:dyDescent="0.2">
      <c r="A13" s="376">
        <v>10650</v>
      </c>
      <c r="B13" s="376" t="s">
        <v>140</v>
      </c>
      <c r="C13" s="376" t="s">
        <v>703</v>
      </c>
      <c r="D13" s="404" t="s">
        <v>2</v>
      </c>
      <c r="E13" s="390"/>
      <c r="F13" s="81">
        <v>0</v>
      </c>
      <c r="G13" s="81">
        <v>0</v>
      </c>
      <c r="H13" s="81">
        <v>0</v>
      </c>
      <c r="I13" s="100"/>
      <c r="J13" s="81">
        <v>235</v>
      </c>
      <c r="K13" s="81">
        <v>235</v>
      </c>
      <c r="L13" s="81">
        <v>0</v>
      </c>
      <c r="M13" s="100"/>
      <c r="N13" s="81">
        <v>0</v>
      </c>
      <c r="O13" s="81">
        <v>0</v>
      </c>
      <c r="P13" s="81">
        <v>0</v>
      </c>
      <c r="R13" s="219">
        <f t="shared" si="1"/>
        <v>235</v>
      </c>
      <c r="S13" s="219">
        <f t="shared" si="2"/>
        <v>235</v>
      </c>
      <c r="T13" s="219">
        <f t="shared" si="3"/>
        <v>0</v>
      </c>
    </row>
    <row r="14" spans="1:20" x14ac:dyDescent="0.2">
      <c r="A14" s="376">
        <v>10750</v>
      </c>
      <c r="B14" s="376" t="s">
        <v>141</v>
      </c>
      <c r="C14" s="376" t="s">
        <v>129</v>
      </c>
      <c r="D14" s="404" t="s">
        <v>4</v>
      </c>
      <c r="E14" s="390"/>
      <c r="F14" s="81">
        <v>0</v>
      </c>
      <c r="G14" s="81">
        <v>0</v>
      </c>
      <c r="H14" s="81">
        <v>0</v>
      </c>
      <c r="I14" s="100"/>
      <c r="J14" s="81">
        <v>0</v>
      </c>
      <c r="K14" s="81">
        <v>0</v>
      </c>
      <c r="L14" s="81">
        <v>0</v>
      </c>
      <c r="M14" s="100"/>
      <c r="N14" s="81">
        <v>0</v>
      </c>
      <c r="O14" s="81">
        <v>0</v>
      </c>
      <c r="P14" s="81">
        <v>0</v>
      </c>
      <c r="R14" s="219">
        <f t="shared" si="1"/>
        <v>0</v>
      </c>
      <c r="S14" s="219">
        <f t="shared" si="2"/>
        <v>0</v>
      </c>
      <c r="T14" s="219">
        <f t="shared" si="3"/>
        <v>0</v>
      </c>
    </row>
    <row r="15" spans="1:20" x14ac:dyDescent="0.2">
      <c r="A15" s="376">
        <v>10800</v>
      </c>
      <c r="B15" s="376" t="s">
        <v>143</v>
      </c>
      <c r="C15" s="376" t="s">
        <v>142</v>
      </c>
      <c r="D15" s="404" t="s">
        <v>2</v>
      </c>
      <c r="E15" s="390"/>
      <c r="F15" s="81">
        <v>0</v>
      </c>
      <c r="G15" s="81">
        <v>0</v>
      </c>
      <c r="H15" s="81">
        <v>0</v>
      </c>
      <c r="I15" s="100"/>
      <c r="J15" s="81">
        <v>214.92</v>
      </c>
      <c r="K15" s="81">
        <v>214.92</v>
      </c>
      <c r="L15" s="81">
        <v>0</v>
      </c>
      <c r="M15" s="100"/>
      <c r="N15" s="81">
        <v>0</v>
      </c>
      <c r="O15" s="81">
        <v>0</v>
      </c>
      <c r="P15" s="81">
        <v>0</v>
      </c>
      <c r="R15" s="219">
        <f t="shared" si="1"/>
        <v>214.92</v>
      </c>
      <c r="S15" s="219">
        <f t="shared" si="2"/>
        <v>214.92</v>
      </c>
      <c r="T15" s="219">
        <f t="shared" si="3"/>
        <v>0</v>
      </c>
    </row>
    <row r="16" spans="1:20" x14ac:dyDescent="0.2">
      <c r="A16" s="376">
        <v>10850</v>
      </c>
      <c r="B16" s="376" t="s">
        <v>144</v>
      </c>
      <c r="C16" s="376" t="s">
        <v>293</v>
      </c>
      <c r="D16" s="404" t="s">
        <v>2</v>
      </c>
      <c r="E16" s="390"/>
      <c r="F16" s="81">
        <v>0</v>
      </c>
      <c r="G16" s="81">
        <v>0</v>
      </c>
      <c r="H16" s="81">
        <v>0</v>
      </c>
      <c r="I16" s="100"/>
      <c r="J16" s="81">
        <v>97.95</v>
      </c>
      <c r="K16" s="81">
        <v>97.95</v>
      </c>
      <c r="L16" s="81">
        <v>0</v>
      </c>
      <c r="M16" s="100"/>
      <c r="N16" s="81">
        <v>0</v>
      </c>
      <c r="O16" s="81">
        <v>0</v>
      </c>
      <c r="P16" s="81">
        <v>0</v>
      </c>
      <c r="R16" s="219">
        <f t="shared" si="1"/>
        <v>97.95</v>
      </c>
      <c r="S16" s="219">
        <f t="shared" si="2"/>
        <v>97.95</v>
      </c>
      <c r="T16" s="219">
        <f t="shared" si="3"/>
        <v>0</v>
      </c>
    </row>
    <row r="17" spans="1:20" x14ac:dyDescent="0.2">
      <c r="A17" s="376">
        <v>10900</v>
      </c>
      <c r="B17" s="376" t="s">
        <v>145</v>
      </c>
      <c r="C17" s="376" t="s">
        <v>129</v>
      </c>
      <c r="D17" s="404" t="s">
        <v>5</v>
      </c>
      <c r="E17" s="390"/>
      <c r="F17" s="81">
        <v>9188.1200000000008</v>
      </c>
      <c r="G17" s="81">
        <v>9041.1</v>
      </c>
      <c r="H17" s="81">
        <v>147.02000000000001</v>
      </c>
      <c r="I17" s="100"/>
      <c r="J17" s="81">
        <v>4189.88</v>
      </c>
      <c r="K17" s="81">
        <v>4189.88</v>
      </c>
      <c r="L17" s="81">
        <v>0</v>
      </c>
      <c r="M17" s="100"/>
      <c r="N17" s="81">
        <v>2107.3000000000002</v>
      </c>
      <c r="O17" s="81">
        <v>2107.3000000000002</v>
      </c>
      <c r="P17" s="81">
        <v>0</v>
      </c>
      <c r="R17" s="219">
        <f t="shared" si="1"/>
        <v>15485.3</v>
      </c>
      <c r="S17" s="219">
        <f t="shared" si="2"/>
        <v>15338.279999999999</v>
      </c>
      <c r="T17" s="219">
        <f t="shared" si="3"/>
        <v>147.02000000000001</v>
      </c>
    </row>
    <row r="18" spans="1:20" x14ac:dyDescent="0.2">
      <c r="A18" s="376">
        <v>10950</v>
      </c>
      <c r="B18" s="376" t="s">
        <v>146</v>
      </c>
      <c r="C18" s="376" t="s">
        <v>293</v>
      </c>
      <c r="D18" s="404" t="s">
        <v>2</v>
      </c>
      <c r="E18" s="390"/>
      <c r="F18" s="81">
        <v>0</v>
      </c>
      <c r="G18" s="81">
        <v>0</v>
      </c>
      <c r="H18" s="81">
        <v>0</v>
      </c>
      <c r="I18" s="100"/>
      <c r="J18" s="81">
        <v>286</v>
      </c>
      <c r="K18" s="81">
        <v>286</v>
      </c>
      <c r="L18" s="81">
        <v>0</v>
      </c>
      <c r="M18" s="100"/>
      <c r="N18" s="81">
        <v>0</v>
      </c>
      <c r="O18" s="81">
        <v>0</v>
      </c>
      <c r="P18" s="81">
        <v>0</v>
      </c>
      <c r="R18" s="219">
        <f t="shared" si="1"/>
        <v>286</v>
      </c>
      <c r="S18" s="219">
        <f t="shared" si="2"/>
        <v>286</v>
      </c>
      <c r="T18" s="219">
        <f t="shared" si="3"/>
        <v>0</v>
      </c>
    </row>
    <row r="19" spans="1:20" x14ac:dyDescent="0.2">
      <c r="A19" s="376">
        <v>11150</v>
      </c>
      <c r="B19" s="376" t="s">
        <v>150</v>
      </c>
      <c r="C19" s="376" t="s">
        <v>293</v>
      </c>
      <c r="D19" s="404" t="s">
        <v>2</v>
      </c>
      <c r="E19" s="390"/>
      <c r="F19" s="81">
        <v>0</v>
      </c>
      <c r="G19" s="81">
        <v>0</v>
      </c>
      <c r="H19" s="81">
        <v>0</v>
      </c>
      <c r="I19" s="100"/>
      <c r="J19" s="81">
        <v>0</v>
      </c>
      <c r="K19" s="81">
        <v>0</v>
      </c>
      <c r="L19" s="81">
        <v>0</v>
      </c>
      <c r="M19" s="100"/>
      <c r="N19" s="81">
        <v>0</v>
      </c>
      <c r="O19" s="81">
        <v>0</v>
      </c>
      <c r="P19" s="81">
        <v>0</v>
      </c>
      <c r="R19" s="219">
        <f t="shared" si="1"/>
        <v>0</v>
      </c>
      <c r="S19" s="219">
        <f t="shared" si="2"/>
        <v>0</v>
      </c>
      <c r="T19" s="219">
        <f t="shared" si="3"/>
        <v>0</v>
      </c>
    </row>
    <row r="20" spans="1:20" x14ac:dyDescent="0.2">
      <c r="A20" s="376">
        <v>11200</v>
      </c>
      <c r="B20" s="376" t="s">
        <v>151</v>
      </c>
      <c r="C20" s="376" t="s">
        <v>293</v>
      </c>
      <c r="D20" s="404" t="s">
        <v>2</v>
      </c>
      <c r="E20" s="390"/>
      <c r="F20" s="81">
        <v>0</v>
      </c>
      <c r="G20" s="81">
        <v>0</v>
      </c>
      <c r="H20" s="81">
        <v>0</v>
      </c>
      <c r="I20" s="100"/>
      <c r="J20" s="81">
        <v>0</v>
      </c>
      <c r="K20" s="81">
        <v>0</v>
      </c>
      <c r="L20" s="81">
        <v>0</v>
      </c>
      <c r="M20" s="100"/>
      <c r="N20" s="81">
        <v>0</v>
      </c>
      <c r="O20" s="81">
        <v>0</v>
      </c>
      <c r="P20" s="81">
        <v>0</v>
      </c>
      <c r="R20" s="219">
        <f t="shared" si="1"/>
        <v>0</v>
      </c>
      <c r="S20" s="219">
        <f t="shared" si="2"/>
        <v>0</v>
      </c>
      <c r="T20" s="219">
        <f t="shared" si="3"/>
        <v>0</v>
      </c>
    </row>
    <row r="21" spans="1:20" x14ac:dyDescent="0.2">
      <c r="A21" s="376">
        <v>11250</v>
      </c>
      <c r="B21" s="376" t="s">
        <v>152</v>
      </c>
      <c r="C21" s="376" t="s">
        <v>293</v>
      </c>
      <c r="D21" s="404" t="s">
        <v>2</v>
      </c>
      <c r="E21" s="390"/>
      <c r="F21" s="81">
        <v>938.08</v>
      </c>
      <c r="G21" s="81">
        <v>656.66000000000008</v>
      </c>
      <c r="H21" s="81">
        <v>281.42</v>
      </c>
      <c r="I21" s="100"/>
      <c r="J21" s="81">
        <v>4287.8999999999996</v>
      </c>
      <c r="K21" s="81">
        <v>4287.8999999999996</v>
      </c>
      <c r="L21" s="81">
        <v>0</v>
      </c>
      <c r="M21" s="100"/>
      <c r="N21" s="81">
        <v>0</v>
      </c>
      <c r="O21" s="81">
        <v>0</v>
      </c>
      <c r="P21" s="81">
        <v>0</v>
      </c>
      <c r="R21" s="219">
        <f t="shared" si="1"/>
        <v>5225.9799999999996</v>
      </c>
      <c r="S21" s="219">
        <f t="shared" si="2"/>
        <v>4944.5599999999995</v>
      </c>
      <c r="T21" s="219">
        <f t="shared" si="3"/>
        <v>281.42</v>
      </c>
    </row>
    <row r="22" spans="1:20" x14ac:dyDescent="0.2">
      <c r="A22" s="376">
        <v>11300</v>
      </c>
      <c r="B22" s="376" t="s">
        <v>153</v>
      </c>
      <c r="C22" s="376" t="s">
        <v>127</v>
      </c>
      <c r="D22" s="404" t="s">
        <v>4</v>
      </c>
      <c r="E22" s="390"/>
      <c r="F22" s="81">
        <v>2195.54</v>
      </c>
      <c r="G22" s="81">
        <v>2195.54</v>
      </c>
      <c r="H22" s="81">
        <v>0</v>
      </c>
      <c r="I22" s="100"/>
      <c r="J22" s="81">
        <v>0</v>
      </c>
      <c r="K22" s="81">
        <v>0</v>
      </c>
      <c r="L22" s="81">
        <v>0</v>
      </c>
      <c r="M22" s="100"/>
      <c r="N22" s="81">
        <v>0</v>
      </c>
      <c r="O22" s="81">
        <v>0</v>
      </c>
      <c r="P22" s="81">
        <v>0</v>
      </c>
      <c r="R22" s="219">
        <f t="shared" si="1"/>
        <v>2195.54</v>
      </c>
      <c r="S22" s="219">
        <f t="shared" si="2"/>
        <v>2195.54</v>
      </c>
      <c r="T22" s="219">
        <f t="shared" si="3"/>
        <v>0</v>
      </c>
    </row>
    <row r="23" spans="1:20" x14ac:dyDescent="0.2">
      <c r="A23" s="376">
        <v>11350</v>
      </c>
      <c r="B23" s="376" t="s">
        <v>154</v>
      </c>
      <c r="C23" s="376" t="s">
        <v>131</v>
      </c>
      <c r="D23" s="404" t="s">
        <v>5</v>
      </c>
      <c r="E23" s="390"/>
      <c r="F23" s="81">
        <v>4539.72</v>
      </c>
      <c r="G23" s="81">
        <v>4539.72</v>
      </c>
      <c r="H23" s="81">
        <v>0</v>
      </c>
      <c r="I23" s="100"/>
      <c r="J23" s="81">
        <v>2660.95</v>
      </c>
      <c r="K23" s="81">
        <v>2660.95</v>
      </c>
      <c r="L23" s="81">
        <v>0</v>
      </c>
      <c r="M23" s="100"/>
      <c r="N23" s="81">
        <v>74.84</v>
      </c>
      <c r="O23" s="81">
        <v>74.84</v>
      </c>
      <c r="P23" s="81">
        <v>0</v>
      </c>
      <c r="R23" s="219">
        <f t="shared" si="1"/>
        <v>7275.51</v>
      </c>
      <c r="S23" s="219">
        <f t="shared" si="2"/>
        <v>7275.51</v>
      </c>
      <c r="T23" s="219">
        <f t="shared" si="3"/>
        <v>0</v>
      </c>
    </row>
    <row r="24" spans="1:20" x14ac:dyDescent="0.2">
      <c r="A24" s="376">
        <v>11400</v>
      </c>
      <c r="B24" s="376" t="s">
        <v>155</v>
      </c>
      <c r="C24" s="376" t="s">
        <v>293</v>
      </c>
      <c r="D24" s="404" t="s">
        <v>2</v>
      </c>
      <c r="E24" s="390"/>
      <c r="F24" s="81">
        <v>0</v>
      </c>
      <c r="G24" s="81">
        <v>0</v>
      </c>
      <c r="H24" s="81">
        <v>0</v>
      </c>
      <c r="I24" s="100"/>
      <c r="J24" s="81">
        <v>248.44</v>
      </c>
      <c r="K24" s="81">
        <v>248.44</v>
      </c>
      <c r="L24" s="81">
        <v>0</v>
      </c>
      <c r="M24" s="100"/>
      <c r="N24" s="81">
        <v>9.3800000000000008</v>
      </c>
      <c r="O24" s="81">
        <v>9.3800000000000008</v>
      </c>
      <c r="P24" s="81">
        <v>0</v>
      </c>
      <c r="R24" s="219">
        <f t="shared" si="1"/>
        <v>257.82</v>
      </c>
      <c r="S24" s="219">
        <f t="shared" si="2"/>
        <v>257.82</v>
      </c>
      <c r="T24" s="219">
        <f t="shared" si="3"/>
        <v>0</v>
      </c>
    </row>
    <row r="25" spans="1:20" x14ac:dyDescent="0.2">
      <c r="A25" s="376">
        <v>11450</v>
      </c>
      <c r="B25" s="376" t="s">
        <v>157</v>
      </c>
      <c r="C25" s="376" t="s">
        <v>156</v>
      </c>
      <c r="D25" s="404" t="s">
        <v>4</v>
      </c>
      <c r="E25" s="390"/>
      <c r="F25" s="81">
        <v>9195</v>
      </c>
      <c r="G25" s="81">
        <v>9176.34</v>
      </c>
      <c r="H25" s="81">
        <v>18.66</v>
      </c>
      <c r="I25" s="100"/>
      <c r="J25" s="81">
        <v>0</v>
      </c>
      <c r="K25" s="81">
        <v>0</v>
      </c>
      <c r="L25" s="81">
        <v>0</v>
      </c>
      <c r="M25" s="100"/>
      <c r="N25" s="81">
        <v>0</v>
      </c>
      <c r="O25" s="81">
        <v>0</v>
      </c>
      <c r="P25" s="81">
        <v>0</v>
      </c>
      <c r="R25" s="219">
        <f t="shared" si="1"/>
        <v>9195</v>
      </c>
      <c r="S25" s="219">
        <f t="shared" si="2"/>
        <v>9176.34</v>
      </c>
      <c r="T25" s="219">
        <f t="shared" si="3"/>
        <v>18.66</v>
      </c>
    </row>
    <row r="26" spans="1:20" x14ac:dyDescent="0.2">
      <c r="A26" s="376">
        <v>11500</v>
      </c>
      <c r="B26" s="376" t="s">
        <v>158</v>
      </c>
      <c r="C26" s="376" t="s">
        <v>156</v>
      </c>
      <c r="D26" s="404" t="s">
        <v>4</v>
      </c>
      <c r="E26" s="390"/>
      <c r="F26" s="81">
        <v>16641</v>
      </c>
      <c r="G26" s="81">
        <v>15809</v>
      </c>
      <c r="H26" s="81">
        <v>832</v>
      </c>
      <c r="I26" s="100"/>
      <c r="J26" s="81">
        <v>0</v>
      </c>
      <c r="K26" s="81">
        <v>0</v>
      </c>
      <c r="L26" s="81">
        <v>0</v>
      </c>
      <c r="M26" s="100"/>
      <c r="N26" s="81">
        <v>805</v>
      </c>
      <c r="O26" s="81">
        <v>0</v>
      </c>
      <c r="P26" s="81">
        <v>805</v>
      </c>
      <c r="R26" s="219">
        <f t="shared" si="1"/>
        <v>17446</v>
      </c>
      <c r="S26" s="219">
        <f t="shared" si="2"/>
        <v>15809</v>
      </c>
      <c r="T26" s="219">
        <f t="shared" si="3"/>
        <v>1637</v>
      </c>
    </row>
    <row r="27" spans="1:20" x14ac:dyDescent="0.2">
      <c r="A27" s="376">
        <v>11520</v>
      </c>
      <c r="B27" s="376" t="s">
        <v>159</v>
      </c>
      <c r="C27" s="376" t="s">
        <v>127</v>
      </c>
      <c r="D27" s="404" t="s">
        <v>4</v>
      </c>
      <c r="E27" s="390"/>
      <c r="F27" s="81">
        <v>4874.4399999999996</v>
      </c>
      <c r="G27" s="81">
        <v>4874.4399999999996</v>
      </c>
      <c r="H27" s="81">
        <v>0</v>
      </c>
      <c r="I27" s="100"/>
      <c r="J27" s="81">
        <v>0</v>
      </c>
      <c r="K27" s="81">
        <v>0</v>
      </c>
      <c r="L27" s="81">
        <v>0</v>
      </c>
      <c r="M27" s="100"/>
      <c r="N27" s="81">
        <v>103.46</v>
      </c>
      <c r="O27" s="81">
        <v>103.46</v>
      </c>
      <c r="P27" s="81">
        <v>0</v>
      </c>
      <c r="R27" s="219">
        <f t="shared" si="1"/>
        <v>4977.8999999999996</v>
      </c>
      <c r="S27" s="219">
        <f t="shared" si="2"/>
        <v>4977.8999999999996</v>
      </c>
      <c r="T27" s="219">
        <f t="shared" si="3"/>
        <v>0</v>
      </c>
    </row>
    <row r="28" spans="1:20" x14ac:dyDescent="0.2">
      <c r="A28" s="376">
        <v>11570</v>
      </c>
      <c r="B28" s="376" t="s">
        <v>134</v>
      </c>
      <c r="C28" s="376" t="s">
        <v>127</v>
      </c>
      <c r="D28" s="404" t="s">
        <v>4</v>
      </c>
      <c r="E28" s="390"/>
      <c r="F28" s="81">
        <v>30281.599999999999</v>
      </c>
      <c r="G28" s="81">
        <v>28768.6</v>
      </c>
      <c r="H28" s="81">
        <v>1513</v>
      </c>
      <c r="I28" s="100"/>
      <c r="J28" s="81">
        <v>0</v>
      </c>
      <c r="K28" s="81">
        <v>0</v>
      </c>
      <c r="L28" s="81">
        <v>0</v>
      </c>
      <c r="M28" s="100"/>
      <c r="N28" s="81">
        <v>0</v>
      </c>
      <c r="O28" s="81">
        <v>0</v>
      </c>
      <c r="P28" s="81">
        <v>0</v>
      </c>
      <c r="R28" s="219">
        <f t="shared" si="1"/>
        <v>30281.599999999999</v>
      </c>
      <c r="S28" s="219">
        <f t="shared" si="2"/>
        <v>28768.6</v>
      </c>
      <c r="T28" s="219">
        <f t="shared" si="3"/>
        <v>1513</v>
      </c>
    </row>
    <row r="29" spans="1:20" x14ac:dyDescent="0.2">
      <c r="A29" s="376">
        <v>11600</v>
      </c>
      <c r="B29" s="376" t="s">
        <v>161</v>
      </c>
      <c r="C29" s="376" t="s">
        <v>705</v>
      </c>
      <c r="D29" s="404" t="s">
        <v>2</v>
      </c>
      <c r="E29" s="390"/>
      <c r="F29" s="81">
        <v>0</v>
      </c>
      <c r="G29" s="81">
        <v>0</v>
      </c>
      <c r="H29" s="81">
        <v>0</v>
      </c>
      <c r="I29" s="100"/>
      <c r="J29" s="81">
        <v>0</v>
      </c>
      <c r="K29" s="81">
        <v>0</v>
      </c>
      <c r="L29" s="81">
        <v>0</v>
      </c>
      <c r="M29" s="100"/>
      <c r="N29" s="81">
        <v>0</v>
      </c>
      <c r="O29" s="81">
        <v>0</v>
      </c>
      <c r="P29" s="81">
        <v>0</v>
      </c>
      <c r="R29" s="219">
        <f t="shared" si="1"/>
        <v>0</v>
      </c>
      <c r="S29" s="219">
        <f t="shared" si="2"/>
        <v>0</v>
      </c>
      <c r="T29" s="219">
        <f t="shared" si="3"/>
        <v>0</v>
      </c>
    </row>
    <row r="30" spans="1:20" x14ac:dyDescent="0.2">
      <c r="A30" s="376">
        <v>11650</v>
      </c>
      <c r="B30" s="376" t="s">
        <v>181</v>
      </c>
      <c r="C30" s="376" t="s">
        <v>163</v>
      </c>
      <c r="D30" s="404" t="s">
        <v>3</v>
      </c>
      <c r="E30" s="390"/>
      <c r="F30" s="81">
        <v>38124</v>
      </c>
      <c r="G30" s="81">
        <v>37718</v>
      </c>
      <c r="H30" s="81">
        <v>406</v>
      </c>
      <c r="I30" s="100"/>
      <c r="J30" s="81">
        <v>3076</v>
      </c>
      <c r="K30" s="81">
        <v>3076</v>
      </c>
      <c r="L30" s="81">
        <v>0</v>
      </c>
      <c r="M30" s="100"/>
      <c r="N30" s="81">
        <v>3910</v>
      </c>
      <c r="O30" s="81">
        <v>0</v>
      </c>
      <c r="P30" s="81">
        <v>3910</v>
      </c>
      <c r="R30" s="219">
        <f t="shared" si="1"/>
        <v>45110</v>
      </c>
      <c r="S30" s="219">
        <f t="shared" si="2"/>
        <v>40794</v>
      </c>
      <c r="T30" s="219">
        <f t="shared" si="3"/>
        <v>4316</v>
      </c>
    </row>
    <row r="31" spans="1:20" x14ac:dyDescent="0.2">
      <c r="A31" s="376">
        <v>11700</v>
      </c>
      <c r="B31" s="376" t="s">
        <v>162</v>
      </c>
      <c r="C31" s="376" t="s">
        <v>293</v>
      </c>
      <c r="D31" s="404" t="s">
        <v>2</v>
      </c>
      <c r="E31" s="390"/>
      <c r="F31" s="81">
        <v>0</v>
      </c>
      <c r="G31" s="81">
        <v>0</v>
      </c>
      <c r="H31" s="81">
        <v>0</v>
      </c>
      <c r="I31" s="100"/>
      <c r="J31" s="81">
        <v>0</v>
      </c>
      <c r="K31" s="81">
        <v>0</v>
      </c>
      <c r="L31" s="81">
        <v>0</v>
      </c>
      <c r="M31" s="100"/>
      <c r="N31" s="81">
        <v>0</v>
      </c>
      <c r="O31" s="81">
        <v>0</v>
      </c>
      <c r="P31" s="81">
        <v>0</v>
      </c>
      <c r="R31" s="219">
        <f t="shared" si="1"/>
        <v>0</v>
      </c>
      <c r="S31" s="219">
        <f t="shared" si="2"/>
        <v>0</v>
      </c>
      <c r="T31" s="219">
        <f t="shared" si="3"/>
        <v>0</v>
      </c>
    </row>
    <row r="32" spans="1:20" x14ac:dyDescent="0.2">
      <c r="A32" s="376">
        <v>11720</v>
      </c>
      <c r="B32" s="376" t="s">
        <v>164</v>
      </c>
      <c r="C32" s="376" t="s">
        <v>163</v>
      </c>
      <c r="D32" s="404" t="s">
        <v>3</v>
      </c>
      <c r="E32" s="390"/>
      <c r="F32" s="81">
        <v>1701.76</v>
      </c>
      <c r="G32" s="81">
        <v>1698.64</v>
      </c>
      <c r="H32" s="81">
        <v>3.12</v>
      </c>
      <c r="I32" s="100"/>
      <c r="J32" s="81">
        <v>1965.32</v>
      </c>
      <c r="K32" s="81">
        <v>1965.32</v>
      </c>
      <c r="L32" s="81">
        <v>0</v>
      </c>
      <c r="M32" s="100"/>
      <c r="N32" s="81">
        <v>0</v>
      </c>
      <c r="O32" s="81">
        <v>0</v>
      </c>
      <c r="P32" s="81">
        <v>0</v>
      </c>
      <c r="R32" s="219">
        <f t="shared" si="1"/>
        <v>3667.08</v>
      </c>
      <c r="S32" s="219">
        <f t="shared" si="2"/>
        <v>3663.96</v>
      </c>
      <c r="T32" s="219">
        <f t="shared" si="3"/>
        <v>3.12</v>
      </c>
    </row>
    <row r="33" spans="1:20" x14ac:dyDescent="0.2">
      <c r="A33" s="376">
        <v>11730</v>
      </c>
      <c r="B33" s="376" t="s">
        <v>165</v>
      </c>
      <c r="C33" s="376" t="s">
        <v>131</v>
      </c>
      <c r="D33" s="404" t="s">
        <v>5</v>
      </c>
      <c r="E33" s="390"/>
      <c r="F33" s="81">
        <v>7441</v>
      </c>
      <c r="G33" s="81">
        <v>7400</v>
      </c>
      <c r="H33" s="81">
        <v>41</v>
      </c>
      <c r="I33" s="100"/>
      <c r="J33" s="81">
        <v>2883</v>
      </c>
      <c r="K33" s="81">
        <v>2883</v>
      </c>
      <c r="L33" s="81">
        <v>0</v>
      </c>
      <c r="M33" s="100"/>
      <c r="N33" s="81">
        <v>0</v>
      </c>
      <c r="O33" s="81">
        <v>0</v>
      </c>
      <c r="P33" s="81">
        <v>0</v>
      </c>
      <c r="R33" s="219">
        <f t="shared" si="1"/>
        <v>10324</v>
      </c>
      <c r="S33" s="219">
        <f t="shared" si="2"/>
        <v>10283</v>
      </c>
      <c r="T33" s="219">
        <f t="shared" si="3"/>
        <v>41</v>
      </c>
    </row>
    <row r="34" spans="1:20" x14ac:dyDescent="0.2">
      <c r="A34" s="376">
        <v>11750</v>
      </c>
      <c r="B34" s="376" t="s">
        <v>166</v>
      </c>
      <c r="C34" s="376" t="s">
        <v>293</v>
      </c>
      <c r="D34" s="404" t="s">
        <v>2</v>
      </c>
      <c r="E34" s="390"/>
      <c r="F34" s="81">
        <v>0</v>
      </c>
      <c r="G34" s="81">
        <v>0</v>
      </c>
      <c r="H34" s="81">
        <v>0</v>
      </c>
      <c r="I34" s="100"/>
      <c r="J34" s="81">
        <v>0</v>
      </c>
      <c r="K34" s="81">
        <v>0</v>
      </c>
      <c r="L34" s="81">
        <v>0</v>
      </c>
      <c r="M34" s="100"/>
      <c r="N34" s="81">
        <v>0</v>
      </c>
      <c r="O34" s="81">
        <v>0</v>
      </c>
      <c r="P34" s="81">
        <v>0</v>
      </c>
      <c r="R34" s="219">
        <f t="shared" si="1"/>
        <v>0</v>
      </c>
      <c r="S34" s="219">
        <f t="shared" si="2"/>
        <v>0</v>
      </c>
      <c r="T34" s="219">
        <f t="shared" si="3"/>
        <v>0</v>
      </c>
    </row>
    <row r="35" spans="1:20" x14ac:dyDescent="0.2">
      <c r="A35" s="376">
        <v>11800</v>
      </c>
      <c r="B35" s="376" t="s">
        <v>167</v>
      </c>
      <c r="C35" s="376" t="s">
        <v>294</v>
      </c>
      <c r="D35" s="404" t="s">
        <v>5</v>
      </c>
      <c r="E35" s="390"/>
      <c r="F35" s="81">
        <v>11468.14</v>
      </c>
      <c r="G35" s="81">
        <v>10818.64</v>
      </c>
      <c r="H35" s="81">
        <v>649.5</v>
      </c>
      <c r="I35" s="100"/>
      <c r="J35" s="81">
        <v>1560.51</v>
      </c>
      <c r="K35" s="81">
        <v>1455.57</v>
      </c>
      <c r="L35" s="81">
        <v>104.94</v>
      </c>
      <c r="M35" s="100"/>
      <c r="N35" s="81">
        <v>0</v>
      </c>
      <c r="O35" s="81">
        <v>0</v>
      </c>
      <c r="P35" s="81">
        <v>0</v>
      </c>
      <c r="R35" s="219">
        <f t="shared" si="1"/>
        <v>13028.65</v>
      </c>
      <c r="S35" s="219">
        <f t="shared" si="2"/>
        <v>12274.21</v>
      </c>
      <c r="T35" s="219">
        <f t="shared" si="3"/>
        <v>754.44</v>
      </c>
    </row>
    <row r="36" spans="1:20" x14ac:dyDescent="0.2">
      <c r="A36" s="376">
        <v>12000</v>
      </c>
      <c r="B36" s="376" t="s">
        <v>169</v>
      </c>
      <c r="C36" s="376" t="s">
        <v>142</v>
      </c>
      <c r="D36" s="404" t="s">
        <v>2</v>
      </c>
      <c r="E36" s="390"/>
      <c r="F36" s="81">
        <v>320</v>
      </c>
      <c r="G36" s="81">
        <v>320</v>
      </c>
      <c r="H36" s="81">
        <v>0</v>
      </c>
      <c r="I36" s="100"/>
      <c r="J36" s="81">
        <v>0</v>
      </c>
      <c r="K36" s="81">
        <v>0</v>
      </c>
      <c r="L36" s="81">
        <v>0</v>
      </c>
      <c r="M36" s="100"/>
      <c r="N36" s="81">
        <v>0</v>
      </c>
      <c r="O36" s="81">
        <v>0</v>
      </c>
      <c r="P36" s="81">
        <v>0</v>
      </c>
      <c r="R36" s="219">
        <f t="shared" si="1"/>
        <v>320</v>
      </c>
      <c r="S36" s="219">
        <f t="shared" si="2"/>
        <v>320</v>
      </c>
      <c r="T36" s="219">
        <f t="shared" si="3"/>
        <v>0</v>
      </c>
    </row>
    <row r="37" spans="1:20" x14ac:dyDescent="0.2">
      <c r="A37" s="376">
        <v>12150</v>
      </c>
      <c r="B37" s="376" t="s">
        <v>170</v>
      </c>
      <c r="C37" s="376" t="s">
        <v>293</v>
      </c>
      <c r="D37" s="404" t="s">
        <v>2</v>
      </c>
      <c r="E37" s="390"/>
      <c r="F37" s="81">
        <v>0</v>
      </c>
      <c r="G37" s="81">
        <v>0</v>
      </c>
      <c r="H37" s="81">
        <v>0</v>
      </c>
      <c r="I37" s="100"/>
      <c r="J37" s="81">
        <v>0</v>
      </c>
      <c r="K37" s="81">
        <v>0</v>
      </c>
      <c r="L37" s="81">
        <v>0</v>
      </c>
      <c r="M37" s="100"/>
      <c r="N37" s="81">
        <v>0</v>
      </c>
      <c r="O37" s="81">
        <v>0</v>
      </c>
      <c r="P37" s="81">
        <v>0</v>
      </c>
      <c r="R37" s="219">
        <f t="shared" si="1"/>
        <v>0</v>
      </c>
      <c r="S37" s="219">
        <f t="shared" si="2"/>
        <v>0</v>
      </c>
      <c r="T37" s="219">
        <f t="shared" si="3"/>
        <v>0</v>
      </c>
    </row>
    <row r="38" spans="1:20" x14ac:dyDescent="0.2">
      <c r="A38" s="376">
        <v>12350</v>
      </c>
      <c r="B38" s="376" t="s">
        <v>172</v>
      </c>
      <c r="C38" s="376" t="s">
        <v>293</v>
      </c>
      <c r="D38" s="404" t="s">
        <v>2</v>
      </c>
      <c r="E38" s="390"/>
      <c r="F38" s="81">
        <v>0</v>
      </c>
      <c r="G38" s="81">
        <v>0</v>
      </c>
      <c r="H38" s="81">
        <v>0</v>
      </c>
      <c r="I38" s="100"/>
      <c r="J38" s="81">
        <v>8.7100000000000009</v>
      </c>
      <c r="K38" s="81">
        <v>0</v>
      </c>
      <c r="L38" s="81">
        <v>8.7100000000000009</v>
      </c>
      <c r="M38" s="100"/>
      <c r="N38" s="81">
        <v>0</v>
      </c>
      <c r="O38" s="81">
        <v>0</v>
      </c>
      <c r="P38" s="81">
        <v>0</v>
      </c>
      <c r="R38" s="219">
        <f t="shared" si="1"/>
        <v>8.7100000000000009</v>
      </c>
      <c r="S38" s="219">
        <f t="shared" si="2"/>
        <v>0</v>
      </c>
      <c r="T38" s="219">
        <f t="shared" si="3"/>
        <v>8.7100000000000009</v>
      </c>
    </row>
    <row r="39" spans="1:20" x14ac:dyDescent="0.2">
      <c r="A39" s="376">
        <v>12380</v>
      </c>
      <c r="B39" s="376" t="s">
        <v>130</v>
      </c>
      <c r="C39" s="376" t="s">
        <v>129</v>
      </c>
      <c r="D39" s="404" t="s">
        <v>4</v>
      </c>
      <c r="E39" s="390"/>
      <c r="F39" s="81">
        <v>3367</v>
      </c>
      <c r="G39" s="81">
        <v>3367</v>
      </c>
      <c r="H39" s="81">
        <v>0</v>
      </c>
      <c r="I39" s="100"/>
      <c r="J39" s="81">
        <v>1346</v>
      </c>
      <c r="K39" s="81">
        <v>1346</v>
      </c>
      <c r="L39" s="81">
        <v>0</v>
      </c>
      <c r="M39" s="100"/>
      <c r="N39" s="81">
        <v>0</v>
      </c>
      <c r="O39" s="81">
        <v>0</v>
      </c>
      <c r="P39" s="81">
        <v>0</v>
      </c>
      <c r="R39" s="219">
        <f t="shared" si="1"/>
        <v>4713</v>
      </c>
      <c r="S39" s="219">
        <f t="shared" si="2"/>
        <v>4713</v>
      </c>
      <c r="T39" s="219">
        <f t="shared" si="3"/>
        <v>0</v>
      </c>
    </row>
    <row r="40" spans="1:20" x14ac:dyDescent="0.2">
      <c r="A40" s="376">
        <v>12700</v>
      </c>
      <c r="B40" s="376" t="s">
        <v>174</v>
      </c>
      <c r="C40" s="376" t="s">
        <v>163</v>
      </c>
      <c r="D40" s="404" t="s">
        <v>5</v>
      </c>
      <c r="E40" s="390"/>
      <c r="F40" s="81">
        <v>0</v>
      </c>
      <c r="G40" s="81">
        <v>0</v>
      </c>
      <c r="H40" s="81">
        <v>0</v>
      </c>
      <c r="I40" s="100"/>
      <c r="J40" s="81">
        <v>225.57</v>
      </c>
      <c r="K40" s="81">
        <v>225.57</v>
      </c>
      <c r="L40" s="81">
        <v>0</v>
      </c>
      <c r="M40" s="100"/>
      <c r="N40" s="81">
        <v>35</v>
      </c>
      <c r="O40" s="81">
        <v>35</v>
      </c>
      <c r="P40" s="81">
        <v>0</v>
      </c>
      <c r="R40" s="219">
        <f t="shared" si="1"/>
        <v>260.57</v>
      </c>
      <c r="S40" s="219">
        <f t="shared" si="2"/>
        <v>260.57</v>
      </c>
      <c r="T40" s="219">
        <f t="shared" si="3"/>
        <v>0</v>
      </c>
    </row>
    <row r="41" spans="1:20" x14ac:dyDescent="0.2">
      <c r="A41" s="376">
        <v>12730</v>
      </c>
      <c r="B41" s="376" t="s">
        <v>168</v>
      </c>
      <c r="C41" s="376" t="s">
        <v>703</v>
      </c>
      <c r="D41" s="404" t="s">
        <v>2</v>
      </c>
      <c r="E41" s="390"/>
      <c r="F41" s="81">
        <v>0</v>
      </c>
      <c r="G41" s="81">
        <v>0</v>
      </c>
      <c r="H41" s="81">
        <v>0</v>
      </c>
      <c r="I41" s="100"/>
      <c r="J41" s="81">
        <v>786.01</v>
      </c>
      <c r="K41" s="81">
        <v>776.42</v>
      </c>
      <c r="L41" s="81">
        <v>9.59</v>
      </c>
      <c r="M41" s="100"/>
      <c r="N41" s="81">
        <v>0</v>
      </c>
      <c r="O41" s="81">
        <v>0</v>
      </c>
      <c r="P41" s="81">
        <v>0</v>
      </c>
      <c r="R41" s="219">
        <f t="shared" si="1"/>
        <v>786.01</v>
      </c>
      <c r="S41" s="219">
        <f t="shared" si="2"/>
        <v>776.42</v>
      </c>
      <c r="T41" s="219">
        <f t="shared" si="3"/>
        <v>9.59</v>
      </c>
    </row>
    <row r="42" spans="1:20" x14ac:dyDescent="0.2">
      <c r="A42" s="376">
        <v>12750</v>
      </c>
      <c r="B42" s="376" t="s">
        <v>175</v>
      </c>
      <c r="C42" s="376" t="s">
        <v>704</v>
      </c>
      <c r="D42" s="404" t="s">
        <v>2</v>
      </c>
      <c r="E42" s="390"/>
      <c r="F42" s="81">
        <v>4496</v>
      </c>
      <c r="G42" s="81">
        <v>4490</v>
      </c>
      <c r="H42" s="81">
        <v>6</v>
      </c>
      <c r="I42" s="100"/>
      <c r="J42" s="81">
        <v>3159</v>
      </c>
      <c r="K42" s="81">
        <v>3159</v>
      </c>
      <c r="L42" s="81">
        <v>0</v>
      </c>
      <c r="M42" s="100"/>
      <c r="N42" s="81">
        <v>0</v>
      </c>
      <c r="O42" s="81">
        <v>0</v>
      </c>
      <c r="P42" s="81">
        <v>0</v>
      </c>
      <c r="R42" s="219">
        <f t="shared" si="1"/>
        <v>7655</v>
      </c>
      <c r="S42" s="219">
        <f t="shared" si="2"/>
        <v>7649</v>
      </c>
      <c r="T42" s="219">
        <f t="shared" si="3"/>
        <v>6</v>
      </c>
    </row>
    <row r="43" spans="1:20" x14ac:dyDescent="0.2">
      <c r="A43" s="376">
        <v>12850</v>
      </c>
      <c r="B43" s="376" t="s">
        <v>176</v>
      </c>
      <c r="C43" s="376" t="s">
        <v>129</v>
      </c>
      <c r="D43" s="404" t="s">
        <v>4</v>
      </c>
      <c r="E43" s="390"/>
      <c r="F43" s="81">
        <v>0</v>
      </c>
      <c r="G43" s="81">
        <v>0</v>
      </c>
      <c r="H43" s="81">
        <v>0</v>
      </c>
      <c r="I43" s="100"/>
      <c r="J43" s="81">
        <v>650</v>
      </c>
      <c r="K43" s="81">
        <v>231</v>
      </c>
      <c r="L43" s="81">
        <v>419</v>
      </c>
      <c r="M43" s="100"/>
      <c r="N43" s="81">
        <v>0</v>
      </c>
      <c r="O43" s="81">
        <v>0</v>
      </c>
      <c r="P43" s="81">
        <v>0</v>
      </c>
      <c r="R43" s="219">
        <f t="shared" si="1"/>
        <v>650</v>
      </c>
      <c r="S43" s="219">
        <f t="shared" si="2"/>
        <v>231</v>
      </c>
      <c r="T43" s="219">
        <f t="shared" si="3"/>
        <v>419</v>
      </c>
    </row>
    <row r="44" spans="1:20" x14ac:dyDescent="0.2">
      <c r="A44" s="376">
        <v>12870</v>
      </c>
      <c r="B44" s="376" t="s">
        <v>171</v>
      </c>
      <c r="C44" s="376" t="s">
        <v>703</v>
      </c>
      <c r="D44" s="404" t="s">
        <v>2</v>
      </c>
      <c r="E44" s="390"/>
      <c r="F44" s="81">
        <v>2200</v>
      </c>
      <c r="G44" s="81">
        <v>2171.62</v>
      </c>
      <c r="H44" s="81">
        <v>28.38</v>
      </c>
      <c r="I44" s="100"/>
      <c r="J44" s="81">
        <v>0</v>
      </c>
      <c r="K44" s="81">
        <v>0</v>
      </c>
      <c r="L44" s="81">
        <v>0</v>
      </c>
      <c r="M44" s="100"/>
      <c r="N44" s="81">
        <v>0</v>
      </c>
      <c r="O44" s="81">
        <v>0</v>
      </c>
      <c r="P44" s="81">
        <v>0</v>
      </c>
      <c r="R44" s="219">
        <f t="shared" si="1"/>
        <v>2200</v>
      </c>
      <c r="S44" s="219">
        <f t="shared" si="2"/>
        <v>2171.62</v>
      </c>
      <c r="T44" s="219">
        <f t="shared" si="3"/>
        <v>28.38</v>
      </c>
    </row>
    <row r="45" spans="1:20" x14ac:dyDescent="0.2">
      <c r="A45" s="376">
        <v>12900</v>
      </c>
      <c r="B45" s="376" t="s">
        <v>177</v>
      </c>
      <c r="C45" s="376" t="s">
        <v>293</v>
      </c>
      <c r="D45" s="404" t="s">
        <v>2</v>
      </c>
      <c r="E45" s="390"/>
      <c r="F45" s="81">
        <v>1050</v>
      </c>
      <c r="G45" s="81">
        <v>1050</v>
      </c>
      <c r="H45" s="81">
        <v>0</v>
      </c>
      <c r="I45" s="100"/>
      <c r="J45" s="81">
        <v>1664</v>
      </c>
      <c r="K45" s="81">
        <v>1664</v>
      </c>
      <c r="L45" s="81">
        <v>0</v>
      </c>
      <c r="M45" s="100"/>
      <c r="N45" s="81">
        <v>0</v>
      </c>
      <c r="O45" s="81">
        <v>0</v>
      </c>
      <c r="P45" s="81">
        <v>0</v>
      </c>
      <c r="R45" s="219">
        <f t="shared" si="1"/>
        <v>2714</v>
      </c>
      <c r="S45" s="219">
        <f t="shared" si="2"/>
        <v>2714</v>
      </c>
      <c r="T45" s="219">
        <f t="shared" si="3"/>
        <v>0</v>
      </c>
    </row>
    <row r="46" spans="1:20" x14ac:dyDescent="0.2">
      <c r="A46" s="376">
        <v>12930</v>
      </c>
      <c r="B46" s="376" t="s">
        <v>193</v>
      </c>
      <c r="C46" s="376" t="s">
        <v>127</v>
      </c>
      <c r="D46" s="404" t="s">
        <v>4</v>
      </c>
      <c r="E46" s="390"/>
      <c r="F46" s="81">
        <v>11967</v>
      </c>
      <c r="G46" s="81">
        <v>11848</v>
      </c>
      <c r="H46" s="81">
        <v>119</v>
      </c>
      <c r="I46" s="100"/>
      <c r="J46" s="81">
        <v>75</v>
      </c>
      <c r="K46" s="81">
        <v>75</v>
      </c>
      <c r="L46" s="81">
        <v>0</v>
      </c>
      <c r="M46" s="100"/>
      <c r="N46" s="81">
        <v>75</v>
      </c>
      <c r="O46" s="81">
        <v>75</v>
      </c>
      <c r="P46" s="81">
        <v>0</v>
      </c>
      <c r="R46" s="219">
        <f t="shared" si="1"/>
        <v>12117</v>
      </c>
      <c r="S46" s="219">
        <f t="shared" si="2"/>
        <v>11998</v>
      </c>
      <c r="T46" s="219">
        <f t="shared" si="3"/>
        <v>119</v>
      </c>
    </row>
    <row r="47" spans="1:20" x14ac:dyDescent="0.2">
      <c r="A47" s="376">
        <v>12950</v>
      </c>
      <c r="B47" s="376" t="s">
        <v>178</v>
      </c>
      <c r="C47" s="376" t="s">
        <v>293</v>
      </c>
      <c r="D47" s="404" t="s">
        <v>2</v>
      </c>
      <c r="E47" s="390"/>
      <c r="F47" s="81">
        <v>0</v>
      </c>
      <c r="G47" s="81">
        <v>0</v>
      </c>
      <c r="H47" s="81">
        <v>0</v>
      </c>
      <c r="I47" s="100"/>
      <c r="J47" s="81">
        <v>0</v>
      </c>
      <c r="K47" s="81">
        <v>0</v>
      </c>
      <c r="L47" s="81">
        <v>0</v>
      </c>
      <c r="M47" s="100"/>
      <c r="N47" s="81">
        <v>0</v>
      </c>
      <c r="O47" s="81">
        <v>0</v>
      </c>
      <c r="P47" s="81">
        <v>0</v>
      </c>
      <c r="R47" s="219">
        <f t="shared" si="1"/>
        <v>0</v>
      </c>
      <c r="S47" s="219">
        <f t="shared" si="2"/>
        <v>0</v>
      </c>
      <c r="T47" s="219">
        <f t="shared" si="3"/>
        <v>0</v>
      </c>
    </row>
    <row r="48" spans="1:20" x14ac:dyDescent="0.2">
      <c r="A48" s="376">
        <v>13010</v>
      </c>
      <c r="B48" s="376" t="s">
        <v>179</v>
      </c>
      <c r="C48" s="376" t="s">
        <v>125</v>
      </c>
      <c r="D48" s="404" t="s">
        <v>2</v>
      </c>
      <c r="E48" s="390"/>
      <c r="F48" s="81">
        <v>0</v>
      </c>
      <c r="G48" s="81">
        <v>0</v>
      </c>
      <c r="H48" s="81">
        <v>0</v>
      </c>
      <c r="I48" s="100"/>
      <c r="J48" s="81">
        <v>647</v>
      </c>
      <c r="K48" s="81">
        <v>647</v>
      </c>
      <c r="L48" s="81">
        <v>0</v>
      </c>
      <c r="M48" s="100"/>
      <c r="N48" s="81">
        <v>0</v>
      </c>
      <c r="O48" s="81">
        <v>0</v>
      </c>
      <c r="P48" s="81">
        <v>0</v>
      </c>
      <c r="R48" s="219">
        <f t="shared" si="1"/>
        <v>647</v>
      </c>
      <c r="S48" s="219">
        <f t="shared" si="2"/>
        <v>647</v>
      </c>
      <c r="T48" s="219">
        <f t="shared" si="3"/>
        <v>0</v>
      </c>
    </row>
    <row r="49" spans="1:20" x14ac:dyDescent="0.2">
      <c r="A49" s="376">
        <v>13310</v>
      </c>
      <c r="B49" s="376" t="s">
        <v>182</v>
      </c>
      <c r="C49" s="376" t="s">
        <v>704</v>
      </c>
      <c r="D49" s="404" t="s">
        <v>2</v>
      </c>
      <c r="E49" s="390"/>
      <c r="F49" s="81">
        <v>1301.76</v>
      </c>
      <c r="G49" s="81">
        <v>1301.76</v>
      </c>
      <c r="H49" s="81">
        <v>0</v>
      </c>
      <c r="I49" s="100"/>
      <c r="J49" s="81">
        <v>1979.94</v>
      </c>
      <c r="K49" s="81">
        <v>1979.94</v>
      </c>
      <c r="L49" s="81">
        <v>0</v>
      </c>
      <c r="M49" s="100"/>
      <c r="N49" s="81">
        <v>0</v>
      </c>
      <c r="O49" s="81">
        <v>0</v>
      </c>
      <c r="P49" s="81">
        <v>0</v>
      </c>
      <c r="R49" s="219">
        <f t="shared" si="1"/>
        <v>3281.7</v>
      </c>
      <c r="S49" s="219">
        <f t="shared" si="2"/>
        <v>3281.7</v>
      </c>
      <c r="T49" s="219">
        <f t="shared" si="3"/>
        <v>0</v>
      </c>
    </row>
    <row r="50" spans="1:20" x14ac:dyDescent="0.2">
      <c r="A50" s="376">
        <v>13340</v>
      </c>
      <c r="B50" s="376" t="s">
        <v>183</v>
      </c>
      <c r="C50" s="376" t="s">
        <v>703</v>
      </c>
      <c r="D50" s="404" t="s">
        <v>2</v>
      </c>
      <c r="E50" s="390"/>
      <c r="F50" s="81">
        <v>0</v>
      </c>
      <c r="G50" s="81">
        <v>0</v>
      </c>
      <c r="H50" s="81">
        <v>0</v>
      </c>
      <c r="I50" s="100"/>
      <c r="J50" s="81">
        <v>230</v>
      </c>
      <c r="K50" s="81">
        <v>230</v>
      </c>
      <c r="L50" s="81">
        <v>0</v>
      </c>
      <c r="M50" s="100"/>
      <c r="N50" s="81">
        <v>0</v>
      </c>
      <c r="O50" s="81">
        <v>0</v>
      </c>
      <c r="P50" s="81">
        <v>0</v>
      </c>
      <c r="R50" s="219">
        <f t="shared" si="1"/>
        <v>230</v>
      </c>
      <c r="S50" s="219">
        <f t="shared" si="2"/>
        <v>230</v>
      </c>
      <c r="T50" s="219">
        <f t="shared" si="3"/>
        <v>0</v>
      </c>
    </row>
    <row r="51" spans="1:20" x14ac:dyDescent="0.2">
      <c r="A51" s="376">
        <v>13450</v>
      </c>
      <c r="B51" s="376" t="s">
        <v>184</v>
      </c>
      <c r="C51" s="376" t="s">
        <v>705</v>
      </c>
      <c r="D51" s="404" t="s">
        <v>2</v>
      </c>
      <c r="E51" s="390"/>
      <c r="F51" s="81">
        <v>0</v>
      </c>
      <c r="G51" s="81">
        <v>0</v>
      </c>
      <c r="H51" s="81">
        <v>0</v>
      </c>
      <c r="I51" s="100"/>
      <c r="J51" s="81">
        <v>139.94</v>
      </c>
      <c r="K51" s="81">
        <v>0</v>
      </c>
      <c r="L51" s="81">
        <v>139.94</v>
      </c>
      <c r="M51" s="100"/>
      <c r="N51" s="81">
        <v>0</v>
      </c>
      <c r="O51" s="81">
        <v>0</v>
      </c>
      <c r="P51" s="81">
        <v>0</v>
      </c>
      <c r="R51" s="219">
        <f t="shared" si="1"/>
        <v>139.94</v>
      </c>
      <c r="S51" s="219">
        <f t="shared" si="2"/>
        <v>0</v>
      </c>
      <c r="T51" s="219">
        <f t="shared" si="3"/>
        <v>139.94</v>
      </c>
    </row>
    <row r="52" spans="1:20" x14ac:dyDescent="0.2">
      <c r="A52" s="376">
        <v>13510</v>
      </c>
      <c r="B52" s="376" t="s">
        <v>295</v>
      </c>
      <c r="C52" s="376" t="s">
        <v>142</v>
      </c>
      <c r="D52" s="404" t="s">
        <v>2</v>
      </c>
      <c r="E52" s="390"/>
      <c r="F52" s="81">
        <v>996</v>
      </c>
      <c r="G52" s="81">
        <v>982.5</v>
      </c>
      <c r="H52" s="81">
        <v>13.5</v>
      </c>
      <c r="I52" s="100"/>
      <c r="J52" s="81">
        <v>289</v>
      </c>
      <c r="K52" s="81">
        <v>263</v>
      </c>
      <c r="L52" s="81">
        <v>26</v>
      </c>
      <c r="M52" s="100"/>
      <c r="N52" s="81">
        <v>6.5</v>
      </c>
      <c r="O52" s="81">
        <v>6.5</v>
      </c>
      <c r="P52" s="81">
        <v>0</v>
      </c>
      <c r="R52" s="219">
        <f t="shared" si="1"/>
        <v>1291.5</v>
      </c>
      <c r="S52" s="219">
        <f t="shared" si="2"/>
        <v>1252</v>
      </c>
      <c r="T52" s="219">
        <f t="shared" si="3"/>
        <v>39.5</v>
      </c>
    </row>
    <row r="53" spans="1:20" x14ac:dyDescent="0.2">
      <c r="A53" s="376">
        <v>13550</v>
      </c>
      <c r="B53" s="376" t="s">
        <v>185</v>
      </c>
      <c r="C53" s="376" t="s">
        <v>125</v>
      </c>
      <c r="D53" s="404" t="s">
        <v>2</v>
      </c>
      <c r="E53" s="390"/>
      <c r="F53" s="81">
        <v>1053.3499999999999</v>
      </c>
      <c r="G53" s="81">
        <v>1003.7299999999999</v>
      </c>
      <c r="H53" s="81">
        <v>49.62</v>
      </c>
      <c r="I53" s="100"/>
      <c r="J53" s="81">
        <v>249.65</v>
      </c>
      <c r="K53" s="81">
        <v>239.65</v>
      </c>
      <c r="L53" s="81">
        <v>10</v>
      </c>
      <c r="M53" s="100"/>
      <c r="N53" s="81">
        <v>0</v>
      </c>
      <c r="O53" s="81">
        <v>0</v>
      </c>
      <c r="P53" s="81">
        <v>0</v>
      </c>
      <c r="R53" s="219">
        <f t="shared" si="1"/>
        <v>1303</v>
      </c>
      <c r="S53" s="219">
        <f t="shared" si="2"/>
        <v>1243.3799999999999</v>
      </c>
      <c r="T53" s="219">
        <f t="shared" si="3"/>
        <v>59.62</v>
      </c>
    </row>
    <row r="54" spans="1:20" x14ac:dyDescent="0.2">
      <c r="A54" s="376">
        <v>13660</v>
      </c>
      <c r="B54" s="376" t="s">
        <v>186</v>
      </c>
      <c r="C54" s="376" t="s">
        <v>125</v>
      </c>
      <c r="D54" s="404" t="s">
        <v>2</v>
      </c>
      <c r="E54" s="390"/>
      <c r="F54" s="81">
        <v>218.3</v>
      </c>
      <c r="G54" s="81">
        <v>218.3</v>
      </c>
      <c r="H54" s="81">
        <v>0</v>
      </c>
      <c r="I54" s="100"/>
      <c r="J54" s="81">
        <v>382.75</v>
      </c>
      <c r="K54" s="81">
        <v>382.75</v>
      </c>
      <c r="L54" s="81">
        <v>0</v>
      </c>
      <c r="M54" s="100"/>
      <c r="N54" s="81">
        <v>0</v>
      </c>
      <c r="O54" s="81">
        <v>0</v>
      </c>
      <c r="P54" s="81">
        <v>0</v>
      </c>
      <c r="R54" s="219">
        <f t="shared" si="1"/>
        <v>601.04999999999995</v>
      </c>
      <c r="S54" s="219">
        <f t="shared" si="2"/>
        <v>601.04999999999995</v>
      </c>
      <c r="T54" s="219">
        <f t="shared" si="3"/>
        <v>0</v>
      </c>
    </row>
    <row r="55" spans="1:20" x14ac:dyDescent="0.2">
      <c r="A55" s="376">
        <v>13800</v>
      </c>
      <c r="B55" s="376" t="s">
        <v>188</v>
      </c>
      <c r="C55" s="376" t="s">
        <v>129</v>
      </c>
      <c r="D55" s="404" t="s">
        <v>3</v>
      </c>
      <c r="E55" s="390"/>
      <c r="F55" s="81">
        <v>4331</v>
      </c>
      <c r="G55" s="81">
        <v>4257.37</v>
      </c>
      <c r="H55" s="81">
        <v>73.63</v>
      </c>
      <c r="I55" s="100"/>
      <c r="J55" s="81">
        <v>1137.31</v>
      </c>
      <c r="K55" s="81">
        <v>1137.31</v>
      </c>
      <c r="L55" s="81">
        <v>0</v>
      </c>
      <c r="M55" s="100"/>
      <c r="N55" s="81">
        <v>0</v>
      </c>
      <c r="O55" s="81">
        <v>0</v>
      </c>
      <c r="P55" s="81">
        <v>0</v>
      </c>
      <c r="R55" s="219">
        <f t="shared" si="1"/>
        <v>5468.3099999999995</v>
      </c>
      <c r="S55" s="219">
        <f t="shared" si="2"/>
        <v>5394.68</v>
      </c>
      <c r="T55" s="219">
        <f t="shared" si="3"/>
        <v>73.63</v>
      </c>
    </row>
    <row r="56" spans="1:20" x14ac:dyDescent="0.2">
      <c r="A56" s="376">
        <v>13850</v>
      </c>
      <c r="B56" s="376" t="s">
        <v>189</v>
      </c>
      <c r="C56" s="376" t="s">
        <v>705</v>
      </c>
      <c r="D56" s="404" t="s">
        <v>2</v>
      </c>
      <c r="E56" s="390"/>
      <c r="F56" s="81">
        <v>0</v>
      </c>
      <c r="G56" s="81">
        <v>0</v>
      </c>
      <c r="H56" s="81">
        <v>0</v>
      </c>
      <c r="I56" s="100"/>
      <c r="J56" s="81">
        <v>0</v>
      </c>
      <c r="K56" s="81">
        <v>0</v>
      </c>
      <c r="L56" s="81">
        <v>0</v>
      </c>
      <c r="M56" s="100"/>
      <c r="N56" s="81">
        <v>0</v>
      </c>
      <c r="O56" s="81">
        <v>0</v>
      </c>
      <c r="P56" s="81">
        <v>0</v>
      </c>
      <c r="R56" s="219">
        <f t="shared" si="1"/>
        <v>0</v>
      </c>
      <c r="S56" s="219">
        <f t="shared" si="2"/>
        <v>0</v>
      </c>
      <c r="T56" s="219">
        <f t="shared" si="3"/>
        <v>0</v>
      </c>
    </row>
    <row r="57" spans="1:20" x14ac:dyDescent="0.2">
      <c r="A57" s="376">
        <v>13910</v>
      </c>
      <c r="B57" s="376" t="s">
        <v>148</v>
      </c>
      <c r="C57" s="376" t="s">
        <v>704</v>
      </c>
      <c r="D57" s="404" t="s">
        <v>2</v>
      </c>
      <c r="E57" s="390"/>
      <c r="F57" s="81">
        <v>928</v>
      </c>
      <c r="G57" s="81">
        <v>926</v>
      </c>
      <c r="H57" s="81">
        <v>2</v>
      </c>
      <c r="I57" s="100"/>
      <c r="J57" s="81">
        <v>731</v>
      </c>
      <c r="K57" s="81">
        <v>731</v>
      </c>
      <c r="L57" s="81">
        <v>0</v>
      </c>
      <c r="M57" s="100"/>
      <c r="N57" s="81">
        <v>0</v>
      </c>
      <c r="O57" s="81">
        <v>0</v>
      </c>
      <c r="P57" s="81">
        <v>0</v>
      </c>
      <c r="R57" s="219">
        <f t="shared" si="1"/>
        <v>1659</v>
      </c>
      <c r="S57" s="219">
        <f t="shared" si="2"/>
        <v>1657</v>
      </c>
      <c r="T57" s="219">
        <f t="shared" si="3"/>
        <v>2</v>
      </c>
    </row>
    <row r="58" spans="1:20" x14ac:dyDescent="0.2">
      <c r="A58" s="376">
        <v>14000</v>
      </c>
      <c r="B58" s="376" t="s">
        <v>191</v>
      </c>
      <c r="C58" s="376" t="s">
        <v>190</v>
      </c>
      <c r="D58" s="404" t="s">
        <v>4</v>
      </c>
      <c r="E58" s="390"/>
      <c r="F58" s="81">
        <v>19224.650000000001</v>
      </c>
      <c r="G58" s="81">
        <v>19224.650000000001</v>
      </c>
      <c r="H58" s="81">
        <v>0</v>
      </c>
      <c r="I58" s="100"/>
      <c r="J58" s="81">
        <v>53</v>
      </c>
      <c r="K58" s="81">
        <v>53</v>
      </c>
      <c r="L58" s="81">
        <v>0</v>
      </c>
      <c r="M58" s="100"/>
      <c r="N58" s="81">
        <v>0</v>
      </c>
      <c r="O58" s="81">
        <v>0</v>
      </c>
      <c r="P58" s="81">
        <v>0</v>
      </c>
      <c r="R58" s="219">
        <f t="shared" si="1"/>
        <v>19277.650000000001</v>
      </c>
      <c r="S58" s="219">
        <f t="shared" si="2"/>
        <v>19277.650000000001</v>
      </c>
      <c r="T58" s="219">
        <f t="shared" si="3"/>
        <v>0</v>
      </c>
    </row>
    <row r="59" spans="1:20" x14ac:dyDescent="0.2">
      <c r="A59" s="376">
        <v>14100</v>
      </c>
      <c r="B59" s="376" t="s">
        <v>192</v>
      </c>
      <c r="C59" s="376" t="s">
        <v>190</v>
      </c>
      <c r="D59" s="404" t="s">
        <v>4</v>
      </c>
      <c r="E59" s="390"/>
      <c r="F59" s="81">
        <v>1121</v>
      </c>
      <c r="G59" s="81">
        <v>1121</v>
      </c>
      <c r="H59" s="81">
        <v>0</v>
      </c>
      <c r="I59" s="100"/>
      <c r="J59" s="81">
        <v>0</v>
      </c>
      <c r="K59" s="81">
        <v>0</v>
      </c>
      <c r="L59" s="81">
        <v>0</v>
      </c>
      <c r="M59" s="100"/>
      <c r="N59" s="81">
        <v>0</v>
      </c>
      <c r="O59" s="81">
        <v>0</v>
      </c>
      <c r="P59" s="81">
        <v>0</v>
      </c>
      <c r="R59" s="219">
        <f t="shared" si="1"/>
        <v>1121</v>
      </c>
      <c r="S59" s="219">
        <f t="shared" si="2"/>
        <v>1121</v>
      </c>
      <c r="T59" s="219">
        <f t="shared" si="3"/>
        <v>0</v>
      </c>
    </row>
    <row r="60" spans="1:20" x14ac:dyDescent="0.2">
      <c r="A60" s="376">
        <v>14170</v>
      </c>
      <c r="B60" s="376" t="s">
        <v>128</v>
      </c>
      <c r="C60" s="376" t="s">
        <v>127</v>
      </c>
      <c r="D60" s="404" t="s">
        <v>4</v>
      </c>
      <c r="E60" s="390"/>
      <c r="F60" s="81">
        <v>7332.41</v>
      </c>
      <c r="G60" s="81">
        <v>7332.41</v>
      </c>
      <c r="H60" s="81">
        <v>0</v>
      </c>
      <c r="I60" s="100"/>
      <c r="J60" s="81">
        <v>190</v>
      </c>
      <c r="K60" s="81">
        <v>190</v>
      </c>
      <c r="L60" s="81">
        <v>0</v>
      </c>
      <c r="M60" s="100"/>
      <c r="N60" s="81">
        <v>284.31</v>
      </c>
      <c r="O60" s="81">
        <v>284.31</v>
      </c>
      <c r="P60" s="81">
        <v>0</v>
      </c>
      <c r="R60" s="219">
        <f t="shared" si="1"/>
        <v>7806.72</v>
      </c>
      <c r="S60" s="219">
        <f t="shared" si="2"/>
        <v>7806.72</v>
      </c>
      <c r="T60" s="219">
        <f t="shared" si="3"/>
        <v>0</v>
      </c>
    </row>
    <row r="61" spans="1:20" x14ac:dyDescent="0.2">
      <c r="A61" s="376">
        <v>14200</v>
      </c>
      <c r="B61" s="376" t="s">
        <v>194</v>
      </c>
      <c r="C61" s="376" t="s">
        <v>125</v>
      </c>
      <c r="D61" s="404" t="s">
        <v>2</v>
      </c>
      <c r="E61" s="390"/>
      <c r="F61" s="81">
        <v>0</v>
      </c>
      <c r="G61" s="81">
        <v>0</v>
      </c>
      <c r="H61" s="81">
        <v>0</v>
      </c>
      <c r="I61" s="100"/>
      <c r="J61" s="81">
        <v>85</v>
      </c>
      <c r="K61" s="81">
        <v>0</v>
      </c>
      <c r="L61" s="81">
        <v>85</v>
      </c>
      <c r="M61" s="100"/>
      <c r="N61" s="81">
        <v>0</v>
      </c>
      <c r="O61" s="81">
        <v>0</v>
      </c>
      <c r="P61" s="81">
        <v>0</v>
      </c>
      <c r="R61" s="219">
        <f t="shared" si="1"/>
        <v>85</v>
      </c>
      <c r="S61" s="219">
        <f t="shared" si="2"/>
        <v>0</v>
      </c>
      <c r="T61" s="219">
        <f t="shared" si="3"/>
        <v>85</v>
      </c>
    </row>
    <row r="62" spans="1:20" x14ac:dyDescent="0.2">
      <c r="A62" s="376">
        <v>14300</v>
      </c>
      <c r="B62" s="376" t="s">
        <v>196</v>
      </c>
      <c r="C62" s="376" t="s">
        <v>142</v>
      </c>
      <c r="D62" s="404" t="s">
        <v>2</v>
      </c>
      <c r="E62" s="390"/>
      <c r="F62" s="81">
        <v>70</v>
      </c>
      <c r="G62" s="81">
        <v>69</v>
      </c>
      <c r="H62" s="81">
        <v>1</v>
      </c>
      <c r="I62" s="100"/>
      <c r="J62" s="81">
        <v>405</v>
      </c>
      <c r="K62" s="81">
        <v>400</v>
      </c>
      <c r="L62" s="81">
        <v>5</v>
      </c>
      <c r="M62" s="100"/>
      <c r="N62" s="81">
        <v>0</v>
      </c>
      <c r="O62" s="81">
        <v>0</v>
      </c>
      <c r="P62" s="81">
        <v>0</v>
      </c>
      <c r="R62" s="219">
        <f t="shared" si="1"/>
        <v>475</v>
      </c>
      <c r="S62" s="219">
        <f t="shared" si="2"/>
        <v>469</v>
      </c>
      <c r="T62" s="219">
        <f t="shared" si="3"/>
        <v>6</v>
      </c>
    </row>
    <row r="63" spans="1:20" x14ac:dyDescent="0.2">
      <c r="A63" s="376">
        <v>14350</v>
      </c>
      <c r="B63" s="376" t="s">
        <v>197</v>
      </c>
      <c r="C63" s="376" t="s">
        <v>294</v>
      </c>
      <c r="D63" s="404" t="s">
        <v>5</v>
      </c>
      <c r="E63" s="390"/>
      <c r="F63" s="81">
        <v>2130.4</v>
      </c>
      <c r="G63" s="81">
        <v>2109.1</v>
      </c>
      <c r="H63" s="81">
        <v>21.3</v>
      </c>
      <c r="I63" s="100"/>
      <c r="J63" s="81">
        <v>1024.5</v>
      </c>
      <c r="K63" s="81">
        <v>1024.5</v>
      </c>
      <c r="L63" s="81">
        <v>0</v>
      </c>
      <c r="M63" s="100"/>
      <c r="N63" s="81">
        <v>0</v>
      </c>
      <c r="O63" s="81">
        <v>0</v>
      </c>
      <c r="P63" s="81">
        <v>0</v>
      </c>
      <c r="R63" s="219">
        <f t="shared" si="1"/>
        <v>3154.9</v>
      </c>
      <c r="S63" s="219">
        <f t="shared" si="2"/>
        <v>3133.6</v>
      </c>
      <c r="T63" s="219">
        <f t="shared" si="3"/>
        <v>21.3</v>
      </c>
    </row>
    <row r="64" spans="1:20" x14ac:dyDescent="0.2">
      <c r="A64" s="376">
        <v>14400</v>
      </c>
      <c r="B64" s="376" t="s">
        <v>198</v>
      </c>
      <c r="C64" s="376" t="s">
        <v>291</v>
      </c>
      <c r="D64" s="404" t="s">
        <v>3</v>
      </c>
      <c r="E64" s="390"/>
      <c r="F64" s="81">
        <v>4385.6099999999997</v>
      </c>
      <c r="G64" s="81">
        <v>4364.03</v>
      </c>
      <c r="H64" s="81">
        <v>21.58</v>
      </c>
      <c r="I64" s="100"/>
      <c r="J64" s="81">
        <v>1307</v>
      </c>
      <c r="K64" s="81">
        <v>1307</v>
      </c>
      <c r="L64" s="81">
        <v>0</v>
      </c>
      <c r="M64" s="100"/>
      <c r="N64" s="81">
        <v>0</v>
      </c>
      <c r="O64" s="81">
        <v>0</v>
      </c>
      <c r="P64" s="81">
        <v>0</v>
      </c>
      <c r="R64" s="219">
        <f t="shared" si="1"/>
        <v>5692.61</v>
      </c>
      <c r="S64" s="219">
        <f t="shared" si="2"/>
        <v>5671.03</v>
      </c>
      <c r="T64" s="219">
        <f t="shared" si="3"/>
        <v>21.58</v>
      </c>
    </row>
    <row r="65" spans="1:20" x14ac:dyDescent="0.2">
      <c r="A65" s="376">
        <v>14500</v>
      </c>
      <c r="B65" s="376" t="s">
        <v>199</v>
      </c>
      <c r="C65" s="376" t="s">
        <v>190</v>
      </c>
      <c r="D65" s="404" t="s">
        <v>4</v>
      </c>
      <c r="E65" s="390"/>
      <c r="F65" s="81">
        <v>19349.13</v>
      </c>
      <c r="G65" s="81">
        <v>19349.13</v>
      </c>
      <c r="H65" s="81">
        <v>0</v>
      </c>
      <c r="I65" s="100"/>
      <c r="J65" s="81">
        <v>0</v>
      </c>
      <c r="K65" s="81">
        <v>0</v>
      </c>
      <c r="L65" s="81">
        <v>0</v>
      </c>
      <c r="M65" s="100"/>
      <c r="N65" s="81">
        <v>0</v>
      </c>
      <c r="O65" s="81">
        <v>0</v>
      </c>
      <c r="P65" s="81">
        <v>0</v>
      </c>
      <c r="R65" s="219">
        <f t="shared" si="1"/>
        <v>19349.13</v>
      </c>
      <c r="S65" s="219">
        <f t="shared" si="2"/>
        <v>19349.13</v>
      </c>
      <c r="T65" s="219">
        <f t="shared" si="3"/>
        <v>0</v>
      </c>
    </row>
    <row r="66" spans="1:20" x14ac:dyDescent="0.2">
      <c r="A66" s="376">
        <v>14550</v>
      </c>
      <c r="B66" s="376" t="s">
        <v>200</v>
      </c>
      <c r="C66" s="376" t="s">
        <v>131</v>
      </c>
      <c r="D66" s="404" t="s">
        <v>5</v>
      </c>
      <c r="E66" s="390"/>
      <c r="F66" s="81">
        <v>0</v>
      </c>
      <c r="G66" s="81">
        <v>0</v>
      </c>
      <c r="H66" s="81">
        <v>0</v>
      </c>
      <c r="I66" s="100"/>
      <c r="J66" s="81">
        <v>0</v>
      </c>
      <c r="K66" s="81">
        <v>0</v>
      </c>
      <c r="L66" s="81">
        <v>0</v>
      </c>
      <c r="M66" s="100"/>
      <c r="N66" s="81">
        <v>0</v>
      </c>
      <c r="O66" s="81">
        <v>0</v>
      </c>
      <c r="P66" s="81">
        <v>0</v>
      </c>
      <c r="R66" s="219">
        <f t="shared" si="1"/>
        <v>0</v>
      </c>
      <c r="S66" s="219">
        <f t="shared" si="2"/>
        <v>0</v>
      </c>
      <c r="T66" s="219">
        <f t="shared" si="3"/>
        <v>0</v>
      </c>
    </row>
    <row r="67" spans="1:20" x14ac:dyDescent="0.2">
      <c r="A67" s="376">
        <v>14600</v>
      </c>
      <c r="B67" s="376" t="s">
        <v>201</v>
      </c>
      <c r="C67" s="376" t="s">
        <v>293</v>
      </c>
      <c r="D67" s="404" t="s">
        <v>2</v>
      </c>
      <c r="E67" s="390"/>
      <c r="F67" s="81">
        <v>225</v>
      </c>
      <c r="G67" s="81">
        <v>225</v>
      </c>
      <c r="H67" s="81">
        <v>0</v>
      </c>
      <c r="I67" s="100"/>
      <c r="J67" s="81">
        <v>0</v>
      </c>
      <c r="K67" s="81">
        <v>0</v>
      </c>
      <c r="L67" s="81">
        <v>0</v>
      </c>
      <c r="M67" s="100"/>
      <c r="N67" s="81">
        <v>0</v>
      </c>
      <c r="O67" s="81">
        <v>0</v>
      </c>
      <c r="P67" s="81">
        <v>0</v>
      </c>
      <c r="R67" s="219">
        <f t="shared" si="1"/>
        <v>225</v>
      </c>
      <c r="S67" s="219">
        <f t="shared" si="2"/>
        <v>225</v>
      </c>
      <c r="T67" s="219">
        <f t="shared" si="3"/>
        <v>0</v>
      </c>
    </row>
    <row r="68" spans="1:20" x14ac:dyDescent="0.2">
      <c r="A68" s="376">
        <v>14650</v>
      </c>
      <c r="B68" s="376" t="s">
        <v>202</v>
      </c>
      <c r="C68" s="376" t="s">
        <v>163</v>
      </c>
      <c r="D68" s="404" t="s">
        <v>3</v>
      </c>
      <c r="E68" s="390"/>
      <c r="F68" s="81">
        <v>21149</v>
      </c>
      <c r="G68" s="81">
        <v>21088</v>
      </c>
      <c r="H68" s="81">
        <v>61</v>
      </c>
      <c r="I68" s="100"/>
      <c r="J68" s="81">
        <v>993.4</v>
      </c>
      <c r="K68" s="81">
        <v>993.4</v>
      </c>
      <c r="L68" s="81">
        <v>0</v>
      </c>
      <c r="M68" s="100"/>
      <c r="N68" s="81">
        <v>818.28</v>
      </c>
      <c r="O68" s="81">
        <v>818.28</v>
      </c>
      <c r="P68" s="81">
        <v>0</v>
      </c>
      <c r="R68" s="219">
        <f t="shared" si="1"/>
        <v>22960.68</v>
      </c>
      <c r="S68" s="219">
        <f t="shared" si="2"/>
        <v>22899.68</v>
      </c>
      <c r="T68" s="219">
        <f t="shared" si="3"/>
        <v>61</v>
      </c>
    </row>
    <row r="69" spans="1:20" x14ac:dyDescent="0.2">
      <c r="A69" s="376">
        <v>14700</v>
      </c>
      <c r="B69" s="376" t="s">
        <v>203</v>
      </c>
      <c r="C69" s="376" t="s">
        <v>190</v>
      </c>
      <c r="D69" s="404" t="s">
        <v>4</v>
      </c>
      <c r="E69" s="390"/>
      <c r="F69" s="81">
        <v>2950</v>
      </c>
      <c r="G69" s="81">
        <v>2655</v>
      </c>
      <c r="H69" s="81">
        <v>295</v>
      </c>
      <c r="I69" s="100"/>
      <c r="J69" s="81">
        <v>0</v>
      </c>
      <c r="K69" s="81">
        <v>0</v>
      </c>
      <c r="L69" s="81">
        <v>0</v>
      </c>
      <c r="M69" s="100"/>
      <c r="N69" s="81">
        <v>0</v>
      </c>
      <c r="O69" s="81">
        <v>0</v>
      </c>
      <c r="P69" s="81">
        <v>0</v>
      </c>
      <c r="R69" s="219">
        <f t="shared" si="1"/>
        <v>2950</v>
      </c>
      <c r="S69" s="219">
        <f t="shared" si="2"/>
        <v>2655</v>
      </c>
      <c r="T69" s="219">
        <f t="shared" si="3"/>
        <v>295</v>
      </c>
    </row>
    <row r="70" spans="1:20" x14ac:dyDescent="0.2">
      <c r="A70" s="376">
        <v>14750</v>
      </c>
      <c r="B70" s="376" t="s">
        <v>204</v>
      </c>
      <c r="C70" s="376" t="s">
        <v>705</v>
      </c>
      <c r="D70" s="404" t="s">
        <v>2</v>
      </c>
      <c r="E70" s="390"/>
      <c r="F70" s="81">
        <v>0</v>
      </c>
      <c r="G70" s="81">
        <v>0</v>
      </c>
      <c r="H70" s="81">
        <v>0</v>
      </c>
      <c r="I70" s="100"/>
      <c r="J70" s="81">
        <v>1722</v>
      </c>
      <c r="K70" s="81">
        <v>1722</v>
      </c>
      <c r="L70" s="81">
        <v>0</v>
      </c>
      <c r="M70" s="100"/>
      <c r="N70" s="81">
        <v>0</v>
      </c>
      <c r="O70" s="81">
        <v>0</v>
      </c>
      <c r="P70" s="81">
        <v>0</v>
      </c>
      <c r="R70" s="219">
        <f t="shared" ref="R70:R132" si="4">F70+J70+N70</f>
        <v>1722</v>
      </c>
      <c r="S70" s="219">
        <f t="shared" ref="S70:S132" si="5">G70+K70+O70</f>
        <v>1722</v>
      </c>
      <c r="T70" s="219">
        <f t="shared" ref="T70:T132" si="6">H70+L70+P70</f>
        <v>0</v>
      </c>
    </row>
    <row r="71" spans="1:20" x14ac:dyDescent="0.2">
      <c r="A71" s="376">
        <v>14850</v>
      </c>
      <c r="B71" s="376" t="s">
        <v>205</v>
      </c>
      <c r="C71" s="376" t="s">
        <v>131</v>
      </c>
      <c r="D71" s="404" t="s">
        <v>5</v>
      </c>
      <c r="E71" s="390"/>
      <c r="F71" s="81">
        <v>6199</v>
      </c>
      <c r="G71" s="81">
        <v>6199</v>
      </c>
      <c r="H71" s="81">
        <v>0</v>
      </c>
      <c r="I71" s="100"/>
      <c r="J71" s="81">
        <v>1211</v>
      </c>
      <c r="K71" s="81">
        <v>1211</v>
      </c>
      <c r="L71" s="81">
        <v>0</v>
      </c>
      <c r="M71" s="100"/>
      <c r="N71" s="81">
        <v>0</v>
      </c>
      <c r="O71" s="81">
        <v>0</v>
      </c>
      <c r="P71" s="81">
        <v>0</v>
      </c>
      <c r="R71" s="219">
        <f t="shared" si="4"/>
        <v>7410</v>
      </c>
      <c r="S71" s="219">
        <f t="shared" si="5"/>
        <v>7410</v>
      </c>
      <c r="T71" s="219">
        <f t="shared" si="6"/>
        <v>0</v>
      </c>
    </row>
    <row r="72" spans="1:20" x14ac:dyDescent="0.2">
      <c r="A72" s="376">
        <v>14870</v>
      </c>
      <c r="B72" s="376" t="s">
        <v>206</v>
      </c>
      <c r="C72" s="376" t="s">
        <v>293</v>
      </c>
      <c r="D72" s="404" t="s">
        <v>2</v>
      </c>
      <c r="E72" s="390"/>
      <c r="F72" s="81">
        <v>0</v>
      </c>
      <c r="G72" s="81">
        <v>0</v>
      </c>
      <c r="H72" s="81">
        <v>0</v>
      </c>
      <c r="I72" s="100"/>
      <c r="J72" s="81">
        <v>204</v>
      </c>
      <c r="K72" s="81">
        <v>0</v>
      </c>
      <c r="L72" s="81">
        <v>204</v>
      </c>
      <c r="M72" s="100"/>
      <c r="N72" s="81">
        <v>10</v>
      </c>
      <c r="O72" s="81">
        <v>0</v>
      </c>
      <c r="P72" s="81">
        <v>10</v>
      </c>
      <c r="R72" s="219">
        <f t="shared" si="4"/>
        <v>214</v>
      </c>
      <c r="S72" s="219">
        <f t="shared" si="5"/>
        <v>0</v>
      </c>
      <c r="T72" s="219">
        <f t="shared" si="6"/>
        <v>214</v>
      </c>
    </row>
    <row r="73" spans="1:20" x14ac:dyDescent="0.2">
      <c r="A73" s="376">
        <v>14900</v>
      </c>
      <c r="B73" s="376" t="s">
        <v>207</v>
      </c>
      <c r="C73" s="376" t="s">
        <v>129</v>
      </c>
      <c r="D73" s="404" t="s">
        <v>4</v>
      </c>
      <c r="E73" s="390"/>
      <c r="F73" s="81">
        <v>16091</v>
      </c>
      <c r="G73" s="81">
        <v>15608</v>
      </c>
      <c r="H73" s="81">
        <v>483</v>
      </c>
      <c r="I73" s="100"/>
      <c r="J73" s="81">
        <v>0</v>
      </c>
      <c r="K73" s="81">
        <v>0</v>
      </c>
      <c r="L73" s="81">
        <v>0</v>
      </c>
      <c r="M73" s="100"/>
      <c r="N73" s="81">
        <v>0</v>
      </c>
      <c r="O73" s="81">
        <v>0</v>
      </c>
      <c r="P73" s="81">
        <v>0</v>
      </c>
      <c r="R73" s="219">
        <f t="shared" si="4"/>
        <v>16091</v>
      </c>
      <c r="S73" s="219">
        <f t="shared" si="5"/>
        <v>15608</v>
      </c>
      <c r="T73" s="219">
        <f t="shared" si="6"/>
        <v>483</v>
      </c>
    </row>
    <row r="74" spans="1:20" x14ac:dyDescent="0.2">
      <c r="A74" s="376">
        <v>14920</v>
      </c>
      <c r="B74" s="376" t="s">
        <v>208</v>
      </c>
      <c r="C74" s="376" t="s">
        <v>125</v>
      </c>
      <c r="D74" s="404" t="s">
        <v>2</v>
      </c>
      <c r="E74" s="390"/>
      <c r="F74" s="81">
        <v>0</v>
      </c>
      <c r="G74" s="81">
        <v>0</v>
      </c>
      <c r="H74" s="81">
        <v>0</v>
      </c>
      <c r="I74" s="100"/>
      <c r="J74" s="81">
        <v>13</v>
      </c>
      <c r="K74" s="81">
        <v>13</v>
      </c>
      <c r="L74" s="81">
        <v>0</v>
      </c>
      <c r="M74" s="100"/>
      <c r="N74" s="81">
        <v>12.5</v>
      </c>
      <c r="O74" s="81">
        <v>12</v>
      </c>
      <c r="P74" s="81">
        <v>0.5</v>
      </c>
      <c r="R74" s="219">
        <f t="shared" si="4"/>
        <v>25.5</v>
      </c>
      <c r="S74" s="219">
        <f t="shared" si="5"/>
        <v>25</v>
      </c>
      <c r="T74" s="219">
        <f t="shared" si="6"/>
        <v>0.5</v>
      </c>
    </row>
    <row r="75" spans="1:20" x14ac:dyDescent="0.2">
      <c r="A75" s="376">
        <v>14950</v>
      </c>
      <c r="B75" s="376" t="s">
        <v>209</v>
      </c>
      <c r="C75" s="376" t="s">
        <v>142</v>
      </c>
      <c r="D75" s="404" t="s">
        <v>2</v>
      </c>
      <c r="E75" s="390"/>
      <c r="F75" s="81">
        <v>0</v>
      </c>
      <c r="G75" s="81">
        <v>0</v>
      </c>
      <c r="H75" s="81">
        <v>0</v>
      </c>
      <c r="I75" s="100"/>
      <c r="J75" s="81">
        <v>0</v>
      </c>
      <c r="K75" s="81">
        <v>0</v>
      </c>
      <c r="L75" s="81">
        <v>0</v>
      </c>
      <c r="M75" s="100"/>
      <c r="N75" s="81">
        <v>0</v>
      </c>
      <c r="O75" s="81">
        <v>0</v>
      </c>
      <c r="P75" s="81">
        <v>0</v>
      </c>
      <c r="R75" s="219">
        <f t="shared" si="4"/>
        <v>0</v>
      </c>
      <c r="S75" s="219">
        <f t="shared" si="5"/>
        <v>0</v>
      </c>
      <c r="T75" s="219">
        <f t="shared" si="6"/>
        <v>0</v>
      </c>
    </row>
    <row r="76" spans="1:20" x14ac:dyDescent="0.2">
      <c r="A76" s="376">
        <v>15050</v>
      </c>
      <c r="B76" s="376" t="s">
        <v>210</v>
      </c>
      <c r="C76" s="376" t="s">
        <v>163</v>
      </c>
      <c r="D76" s="404" t="s">
        <v>3</v>
      </c>
      <c r="E76" s="390"/>
      <c r="F76" s="81">
        <v>2663</v>
      </c>
      <c r="G76" s="81">
        <v>2655</v>
      </c>
      <c r="H76" s="81">
        <v>8</v>
      </c>
      <c r="I76" s="100"/>
      <c r="J76" s="81">
        <v>2842</v>
      </c>
      <c r="K76" s="81">
        <v>2842</v>
      </c>
      <c r="L76" s="81">
        <v>0</v>
      </c>
      <c r="M76" s="100"/>
      <c r="N76" s="81">
        <v>0</v>
      </c>
      <c r="O76" s="81">
        <v>0</v>
      </c>
      <c r="P76" s="81">
        <v>0</v>
      </c>
      <c r="R76" s="219">
        <f t="shared" si="4"/>
        <v>5505</v>
      </c>
      <c r="S76" s="219">
        <f t="shared" si="5"/>
        <v>5497</v>
      </c>
      <c r="T76" s="219">
        <f t="shared" si="6"/>
        <v>8</v>
      </c>
    </row>
    <row r="77" spans="1:20" x14ac:dyDescent="0.2">
      <c r="A77" s="376">
        <v>15240</v>
      </c>
      <c r="B77" s="376" t="s">
        <v>180</v>
      </c>
      <c r="C77" s="376" t="s">
        <v>294</v>
      </c>
      <c r="D77" s="404" t="s">
        <v>5</v>
      </c>
      <c r="E77" s="390"/>
      <c r="F77" s="81">
        <v>10517.74</v>
      </c>
      <c r="G77" s="81">
        <v>10517.74</v>
      </c>
      <c r="H77" s="81">
        <v>0</v>
      </c>
      <c r="I77" s="100"/>
      <c r="J77" s="81">
        <v>4000</v>
      </c>
      <c r="K77" s="81">
        <v>4000</v>
      </c>
      <c r="L77" s="81">
        <v>0</v>
      </c>
      <c r="M77" s="100"/>
      <c r="N77" s="81">
        <v>0</v>
      </c>
      <c r="O77" s="81">
        <v>0</v>
      </c>
      <c r="P77" s="81">
        <v>0</v>
      </c>
      <c r="R77" s="219">
        <f t="shared" si="4"/>
        <v>14517.74</v>
      </c>
      <c r="S77" s="219">
        <f t="shared" si="5"/>
        <v>14517.74</v>
      </c>
      <c r="T77" s="219">
        <f t="shared" si="6"/>
        <v>0</v>
      </c>
    </row>
    <row r="78" spans="1:20" x14ac:dyDescent="0.2">
      <c r="A78" s="376">
        <v>15270</v>
      </c>
      <c r="B78" s="376" t="s">
        <v>212</v>
      </c>
      <c r="C78" s="376" t="s">
        <v>293</v>
      </c>
      <c r="D78" s="404" t="s">
        <v>2</v>
      </c>
      <c r="E78" s="390"/>
      <c r="F78" s="81">
        <v>0</v>
      </c>
      <c r="G78" s="81">
        <v>0</v>
      </c>
      <c r="H78" s="81">
        <v>0</v>
      </c>
      <c r="I78" s="100"/>
      <c r="J78" s="81">
        <v>2780.45</v>
      </c>
      <c r="K78" s="81">
        <v>2780.45</v>
      </c>
      <c r="L78" s="81">
        <v>0</v>
      </c>
      <c r="M78" s="100"/>
      <c r="N78" s="81">
        <v>0</v>
      </c>
      <c r="O78" s="81">
        <v>0</v>
      </c>
      <c r="P78" s="81">
        <v>0</v>
      </c>
      <c r="R78" s="219">
        <f t="shared" si="4"/>
        <v>2780.45</v>
      </c>
      <c r="S78" s="219">
        <f t="shared" si="5"/>
        <v>2780.45</v>
      </c>
      <c r="T78" s="219">
        <f t="shared" si="6"/>
        <v>0</v>
      </c>
    </row>
    <row r="79" spans="1:20" x14ac:dyDescent="0.2">
      <c r="A79" s="376">
        <v>15300</v>
      </c>
      <c r="B79" s="376" t="s">
        <v>213</v>
      </c>
      <c r="C79" s="376" t="s">
        <v>125</v>
      </c>
      <c r="D79" s="404" t="s">
        <v>2</v>
      </c>
      <c r="E79" s="390"/>
      <c r="F79" s="81">
        <v>902.59</v>
      </c>
      <c r="G79" s="81">
        <v>902.59</v>
      </c>
      <c r="H79" s="81">
        <v>0</v>
      </c>
      <c r="I79" s="100"/>
      <c r="J79" s="81">
        <v>0</v>
      </c>
      <c r="K79" s="81">
        <v>0</v>
      </c>
      <c r="L79" s="81">
        <v>0</v>
      </c>
      <c r="M79" s="100"/>
      <c r="N79" s="81">
        <v>2.93</v>
      </c>
      <c r="O79" s="81">
        <v>2.93</v>
      </c>
      <c r="P79" s="81">
        <v>0</v>
      </c>
      <c r="R79" s="219">
        <f t="shared" si="4"/>
        <v>905.52</v>
      </c>
      <c r="S79" s="219">
        <f t="shared" si="5"/>
        <v>905.52</v>
      </c>
      <c r="T79" s="219">
        <f t="shared" si="6"/>
        <v>0</v>
      </c>
    </row>
    <row r="80" spans="1:20" x14ac:dyDescent="0.2">
      <c r="A80" s="376">
        <v>15350</v>
      </c>
      <c r="B80" s="376" t="s">
        <v>214</v>
      </c>
      <c r="C80" s="376" t="s">
        <v>190</v>
      </c>
      <c r="D80" s="404" t="s">
        <v>4</v>
      </c>
      <c r="E80" s="390"/>
      <c r="F80" s="81">
        <v>1350</v>
      </c>
      <c r="G80" s="81">
        <v>1350</v>
      </c>
      <c r="H80" s="81">
        <v>0</v>
      </c>
      <c r="I80" s="100"/>
      <c r="J80" s="81">
        <v>162</v>
      </c>
      <c r="K80" s="81">
        <v>162</v>
      </c>
      <c r="L80" s="81">
        <v>0</v>
      </c>
      <c r="M80" s="100"/>
      <c r="N80" s="81">
        <v>0</v>
      </c>
      <c r="O80" s="81">
        <v>0</v>
      </c>
      <c r="P80" s="81">
        <v>0</v>
      </c>
      <c r="R80" s="219">
        <f t="shared" si="4"/>
        <v>1512</v>
      </c>
      <c r="S80" s="219">
        <f t="shared" si="5"/>
        <v>1512</v>
      </c>
      <c r="T80" s="219">
        <f t="shared" si="6"/>
        <v>0</v>
      </c>
    </row>
    <row r="81" spans="1:20" x14ac:dyDescent="0.2">
      <c r="A81" s="376">
        <v>15520</v>
      </c>
      <c r="B81" s="376" t="s">
        <v>215</v>
      </c>
      <c r="C81" s="376" t="s">
        <v>703</v>
      </c>
      <c r="D81" s="404" t="s">
        <v>2</v>
      </c>
      <c r="E81" s="390"/>
      <c r="F81" s="81">
        <v>0</v>
      </c>
      <c r="G81" s="81">
        <v>0</v>
      </c>
      <c r="H81" s="81">
        <v>0</v>
      </c>
      <c r="I81" s="100"/>
      <c r="J81" s="81">
        <v>0</v>
      </c>
      <c r="K81" s="81">
        <v>0</v>
      </c>
      <c r="L81" s="81">
        <v>0</v>
      </c>
      <c r="M81" s="100"/>
      <c r="N81" s="81">
        <v>0</v>
      </c>
      <c r="O81" s="81">
        <v>0</v>
      </c>
      <c r="P81" s="81">
        <v>0</v>
      </c>
      <c r="R81" s="219">
        <f t="shared" si="4"/>
        <v>0</v>
      </c>
      <c r="S81" s="219">
        <f t="shared" si="5"/>
        <v>0</v>
      </c>
      <c r="T81" s="219">
        <f t="shared" si="6"/>
        <v>0</v>
      </c>
    </row>
    <row r="82" spans="1:20" x14ac:dyDescent="0.2">
      <c r="A82" s="376">
        <v>15560</v>
      </c>
      <c r="B82" s="376" t="s">
        <v>195</v>
      </c>
      <c r="C82" s="376" t="s">
        <v>705</v>
      </c>
      <c r="D82" s="404" t="s">
        <v>2</v>
      </c>
      <c r="E82" s="390"/>
      <c r="F82" s="81">
        <v>0</v>
      </c>
      <c r="G82" s="81">
        <v>0</v>
      </c>
      <c r="H82" s="81">
        <v>0</v>
      </c>
      <c r="I82" s="100"/>
      <c r="J82" s="81">
        <v>0</v>
      </c>
      <c r="K82" s="81">
        <v>0</v>
      </c>
      <c r="L82" s="81">
        <v>0</v>
      </c>
      <c r="M82" s="100"/>
      <c r="N82" s="81">
        <v>0</v>
      </c>
      <c r="O82" s="81">
        <v>0</v>
      </c>
      <c r="P82" s="81">
        <v>0</v>
      </c>
      <c r="R82" s="219">
        <f t="shared" si="4"/>
        <v>0</v>
      </c>
      <c r="S82" s="219">
        <f t="shared" si="5"/>
        <v>0</v>
      </c>
      <c r="T82" s="219">
        <f t="shared" si="6"/>
        <v>0</v>
      </c>
    </row>
    <row r="83" spans="1:20" x14ac:dyDescent="0.2">
      <c r="A83" s="376">
        <v>15650</v>
      </c>
      <c r="B83" s="376" t="s">
        <v>216</v>
      </c>
      <c r="C83" s="376" t="s">
        <v>163</v>
      </c>
      <c r="D83" s="404" t="s">
        <v>5</v>
      </c>
      <c r="E83" s="390"/>
      <c r="F83" s="81">
        <v>1743.74</v>
      </c>
      <c r="G83" s="81">
        <v>1041.98</v>
      </c>
      <c r="H83" s="81">
        <v>701.76</v>
      </c>
      <c r="I83" s="100"/>
      <c r="J83" s="81">
        <v>43.66</v>
      </c>
      <c r="K83" s="81">
        <v>42.66</v>
      </c>
      <c r="L83" s="81">
        <v>1</v>
      </c>
      <c r="M83" s="100"/>
      <c r="N83" s="81">
        <v>12.02</v>
      </c>
      <c r="O83" s="81">
        <v>12.02</v>
      </c>
      <c r="P83" s="81">
        <v>0</v>
      </c>
      <c r="R83" s="219">
        <f t="shared" si="4"/>
        <v>1799.42</v>
      </c>
      <c r="S83" s="219">
        <f t="shared" si="5"/>
        <v>1096.6600000000001</v>
      </c>
      <c r="T83" s="219">
        <f t="shared" si="6"/>
        <v>702.76</v>
      </c>
    </row>
    <row r="84" spans="1:20" x14ac:dyDescent="0.2">
      <c r="A84" s="376">
        <v>15700</v>
      </c>
      <c r="B84" s="376" t="s">
        <v>217</v>
      </c>
      <c r="C84" s="376" t="s">
        <v>294</v>
      </c>
      <c r="D84" s="404" t="s">
        <v>5</v>
      </c>
      <c r="E84" s="390"/>
      <c r="F84" s="81">
        <v>2689.48</v>
      </c>
      <c r="G84" s="81">
        <v>2555.48</v>
      </c>
      <c r="H84" s="81">
        <v>134</v>
      </c>
      <c r="I84" s="100"/>
      <c r="J84" s="81">
        <v>214.24</v>
      </c>
      <c r="K84" s="81">
        <v>214.24</v>
      </c>
      <c r="L84" s="81">
        <v>0</v>
      </c>
      <c r="M84" s="100"/>
      <c r="N84" s="81">
        <v>0</v>
      </c>
      <c r="O84" s="81">
        <v>0</v>
      </c>
      <c r="P84" s="81">
        <v>0</v>
      </c>
      <c r="R84" s="219">
        <f t="shared" si="4"/>
        <v>2903.7200000000003</v>
      </c>
      <c r="S84" s="219">
        <f t="shared" si="5"/>
        <v>2769.7200000000003</v>
      </c>
      <c r="T84" s="219">
        <f t="shared" si="6"/>
        <v>134</v>
      </c>
    </row>
    <row r="85" spans="1:20" x14ac:dyDescent="0.2">
      <c r="A85" s="376">
        <v>15750</v>
      </c>
      <c r="B85" s="376" t="s">
        <v>218</v>
      </c>
      <c r="C85" s="376" t="s">
        <v>125</v>
      </c>
      <c r="D85" s="404" t="s">
        <v>2</v>
      </c>
      <c r="E85" s="390"/>
      <c r="F85" s="81">
        <v>635.1</v>
      </c>
      <c r="G85" s="81">
        <v>635.1</v>
      </c>
      <c r="H85" s="81">
        <v>0</v>
      </c>
      <c r="I85" s="100"/>
      <c r="J85" s="81">
        <v>496.2</v>
      </c>
      <c r="K85" s="81">
        <v>0.19999999999998863</v>
      </c>
      <c r="L85" s="81">
        <v>496</v>
      </c>
      <c r="M85" s="100"/>
      <c r="N85" s="81">
        <v>0</v>
      </c>
      <c r="O85" s="81">
        <v>0</v>
      </c>
      <c r="P85" s="81">
        <v>0</v>
      </c>
      <c r="R85" s="219">
        <f t="shared" si="4"/>
        <v>1131.3</v>
      </c>
      <c r="S85" s="219">
        <f t="shared" si="5"/>
        <v>635.29999999999995</v>
      </c>
      <c r="T85" s="219">
        <f t="shared" si="6"/>
        <v>496</v>
      </c>
    </row>
    <row r="86" spans="1:20" x14ac:dyDescent="0.2">
      <c r="A86" s="376">
        <v>15800</v>
      </c>
      <c r="B86" s="376" t="s">
        <v>219</v>
      </c>
      <c r="C86" s="376" t="s">
        <v>705</v>
      </c>
      <c r="D86" s="404" t="s">
        <v>2</v>
      </c>
      <c r="E86" s="390"/>
      <c r="F86" s="81">
        <v>0</v>
      </c>
      <c r="G86" s="81">
        <v>0</v>
      </c>
      <c r="H86" s="81">
        <v>0</v>
      </c>
      <c r="I86" s="100"/>
      <c r="J86" s="81">
        <v>0</v>
      </c>
      <c r="K86" s="81">
        <v>0</v>
      </c>
      <c r="L86" s="81">
        <v>0</v>
      </c>
      <c r="M86" s="100"/>
      <c r="N86" s="81">
        <v>0</v>
      </c>
      <c r="O86" s="81">
        <v>0</v>
      </c>
      <c r="P86" s="81">
        <v>0</v>
      </c>
      <c r="R86" s="219">
        <f t="shared" si="4"/>
        <v>0</v>
      </c>
      <c r="S86" s="219">
        <f t="shared" si="5"/>
        <v>0</v>
      </c>
      <c r="T86" s="219">
        <f t="shared" si="6"/>
        <v>0</v>
      </c>
    </row>
    <row r="87" spans="1:20" x14ac:dyDescent="0.2">
      <c r="A87" s="376">
        <v>15850</v>
      </c>
      <c r="B87" s="376" t="s">
        <v>220</v>
      </c>
      <c r="C87" s="376" t="s">
        <v>293</v>
      </c>
      <c r="D87" s="404" t="s">
        <v>2</v>
      </c>
      <c r="E87" s="390"/>
      <c r="F87" s="81">
        <v>0</v>
      </c>
      <c r="G87" s="81">
        <v>0</v>
      </c>
      <c r="H87" s="81">
        <v>0</v>
      </c>
      <c r="I87" s="100"/>
      <c r="J87" s="81">
        <v>36</v>
      </c>
      <c r="K87" s="81">
        <v>36</v>
      </c>
      <c r="L87" s="81">
        <v>0</v>
      </c>
      <c r="M87" s="100"/>
      <c r="N87" s="81">
        <v>0</v>
      </c>
      <c r="O87" s="81">
        <v>0</v>
      </c>
      <c r="P87" s="81">
        <v>0</v>
      </c>
      <c r="R87" s="219">
        <f t="shared" si="4"/>
        <v>36</v>
      </c>
      <c r="S87" s="219">
        <f t="shared" si="5"/>
        <v>36</v>
      </c>
      <c r="T87" s="219">
        <f t="shared" si="6"/>
        <v>0</v>
      </c>
    </row>
    <row r="88" spans="1:20" x14ac:dyDescent="0.2">
      <c r="A88" s="376">
        <v>15900</v>
      </c>
      <c r="B88" s="376" t="s">
        <v>221</v>
      </c>
      <c r="C88" s="376" t="s">
        <v>163</v>
      </c>
      <c r="D88" s="404" t="s">
        <v>3</v>
      </c>
      <c r="E88" s="390"/>
      <c r="F88" s="81">
        <v>14162.93</v>
      </c>
      <c r="G88" s="81">
        <v>13893.93</v>
      </c>
      <c r="H88" s="81">
        <v>269</v>
      </c>
      <c r="I88" s="100"/>
      <c r="J88" s="81">
        <v>1441.54</v>
      </c>
      <c r="K88" s="81">
        <v>1414.1499999999999</v>
      </c>
      <c r="L88" s="81">
        <v>27.39</v>
      </c>
      <c r="M88" s="100"/>
      <c r="N88" s="81">
        <v>0</v>
      </c>
      <c r="O88" s="81">
        <v>0</v>
      </c>
      <c r="P88" s="81">
        <v>0</v>
      </c>
      <c r="R88" s="219">
        <f t="shared" si="4"/>
        <v>15604.470000000001</v>
      </c>
      <c r="S88" s="219">
        <f t="shared" si="5"/>
        <v>15308.08</v>
      </c>
      <c r="T88" s="219">
        <f t="shared" si="6"/>
        <v>296.39</v>
      </c>
    </row>
    <row r="89" spans="1:20" x14ac:dyDescent="0.2">
      <c r="A89" s="376">
        <v>15950</v>
      </c>
      <c r="B89" s="376" t="s">
        <v>222</v>
      </c>
      <c r="C89" s="376" t="s">
        <v>190</v>
      </c>
      <c r="D89" s="404" t="s">
        <v>4</v>
      </c>
      <c r="E89" s="390"/>
      <c r="F89" s="81">
        <v>0</v>
      </c>
      <c r="G89" s="81">
        <v>0</v>
      </c>
      <c r="H89" s="81">
        <v>0</v>
      </c>
      <c r="I89" s="100"/>
      <c r="J89" s="81">
        <v>0</v>
      </c>
      <c r="K89" s="81">
        <v>0</v>
      </c>
      <c r="L89" s="81">
        <v>0</v>
      </c>
      <c r="M89" s="100"/>
      <c r="N89" s="81">
        <v>1582</v>
      </c>
      <c r="O89" s="81">
        <v>1534.5</v>
      </c>
      <c r="P89" s="81">
        <v>47.5</v>
      </c>
      <c r="R89" s="219">
        <f t="shared" si="4"/>
        <v>1582</v>
      </c>
      <c r="S89" s="219">
        <f t="shared" si="5"/>
        <v>1534.5</v>
      </c>
      <c r="T89" s="219">
        <f t="shared" si="6"/>
        <v>47.5</v>
      </c>
    </row>
    <row r="90" spans="1:20" x14ac:dyDescent="0.2">
      <c r="A90" s="376">
        <v>15990</v>
      </c>
      <c r="B90" s="376" t="s">
        <v>211</v>
      </c>
      <c r="C90" s="376"/>
      <c r="D90" s="404" t="s">
        <v>4</v>
      </c>
      <c r="E90" s="390"/>
      <c r="F90" s="81">
        <v>24871</v>
      </c>
      <c r="G90" s="81">
        <v>24871</v>
      </c>
      <c r="H90" s="81">
        <v>0</v>
      </c>
      <c r="I90" s="100"/>
      <c r="J90" s="81">
        <v>4323</v>
      </c>
      <c r="K90" s="81">
        <v>4323</v>
      </c>
      <c r="L90" s="81">
        <v>0</v>
      </c>
      <c r="M90" s="100"/>
      <c r="N90" s="81">
        <v>0</v>
      </c>
      <c r="O90" s="81">
        <v>0</v>
      </c>
      <c r="P90" s="81">
        <v>0</v>
      </c>
      <c r="R90" s="219">
        <f t="shared" si="4"/>
        <v>29194</v>
      </c>
      <c r="S90" s="219">
        <f t="shared" si="5"/>
        <v>29194</v>
      </c>
      <c r="T90" s="219">
        <f t="shared" si="6"/>
        <v>0</v>
      </c>
    </row>
    <row r="91" spans="1:20" x14ac:dyDescent="0.2">
      <c r="A91" s="376">
        <v>16100</v>
      </c>
      <c r="B91" s="376" t="s">
        <v>223</v>
      </c>
      <c r="C91" s="376" t="s">
        <v>293</v>
      </c>
      <c r="D91" s="404" t="s">
        <v>2</v>
      </c>
      <c r="E91" s="390"/>
      <c r="F91" s="81">
        <v>0</v>
      </c>
      <c r="G91" s="81">
        <v>0</v>
      </c>
      <c r="H91" s="81">
        <v>0</v>
      </c>
      <c r="I91" s="100"/>
      <c r="J91" s="81">
        <v>65</v>
      </c>
      <c r="K91" s="81">
        <v>65</v>
      </c>
      <c r="L91" s="81">
        <v>0</v>
      </c>
      <c r="M91" s="100"/>
      <c r="N91" s="81">
        <v>0</v>
      </c>
      <c r="O91" s="81">
        <v>0</v>
      </c>
      <c r="P91" s="81">
        <v>0</v>
      </c>
      <c r="R91" s="219">
        <f t="shared" si="4"/>
        <v>65</v>
      </c>
      <c r="S91" s="219">
        <f t="shared" si="5"/>
        <v>65</v>
      </c>
      <c r="T91" s="219">
        <f t="shared" si="6"/>
        <v>0</v>
      </c>
    </row>
    <row r="92" spans="1:20" x14ac:dyDescent="0.2">
      <c r="A92" s="376">
        <v>16150</v>
      </c>
      <c r="B92" s="376" t="s">
        <v>224</v>
      </c>
      <c r="C92" s="376" t="s">
        <v>293</v>
      </c>
      <c r="D92" s="404" t="s">
        <v>2</v>
      </c>
      <c r="E92" s="390"/>
      <c r="F92" s="81">
        <v>5074.3599999999997</v>
      </c>
      <c r="G92" s="81">
        <v>5038.9699999999993</v>
      </c>
      <c r="H92" s="81">
        <v>35.39</v>
      </c>
      <c r="I92" s="100"/>
      <c r="J92" s="81">
        <v>9375.14</v>
      </c>
      <c r="K92" s="81">
        <v>8534.6</v>
      </c>
      <c r="L92" s="81">
        <v>840.53999999999905</v>
      </c>
      <c r="M92" s="100"/>
      <c r="N92" s="81">
        <v>0</v>
      </c>
      <c r="O92" s="81">
        <v>0</v>
      </c>
      <c r="P92" s="81">
        <v>0</v>
      </c>
      <c r="R92" s="219">
        <f t="shared" si="4"/>
        <v>14449.5</v>
      </c>
      <c r="S92" s="219">
        <f t="shared" si="5"/>
        <v>13573.57</v>
      </c>
      <c r="T92" s="219">
        <f t="shared" si="6"/>
        <v>875.92999999999904</v>
      </c>
    </row>
    <row r="93" spans="1:20" x14ac:dyDescent="0.2">
      <c r="A93" s="376">
        <v>16200</v>
      </c>
      <c r="B93" s="376" t="s">
        <v>226</v>
      </c>
      <c r="C93" s="376" t="s">
        <v>293</v>
      </c>
      <c r="D93" s="404" t="s">
        <v>2</v>
      </c>
      <c r="E93" s="390"/>
      <c r="F93" s="81">
        <v>0</v>
      </c>
      <c r="G93" s="81">
        <v>0</v>
      </c>
      <c r="H93" s="81">
        <v>0</v>
      </c>
      <c r="I93" s="100"/>
      <c r="J93" s="81">
        <v>0</v>
      </c>
      <c r="K93" s="81">
        <v>0</v>
      </c>
      <c r="L93" s="81">
        <v>0</v>
      </c>
      <c r="M93" s="100"/>
      <c r="N93" s="81">
        <v>6.28</v>
      </c>
      <c r="O93" s="81">
        <v>6.28</v>
      </c>
      <c r="P93" s="81">
        <v>0</v>
      </c>
      <c r="R93" s="219">
        <f t="shared" si="4"/>
        <v>6.28</v>
      </c>
      <c r="S93" s="219">
        <f t="shared" si="5"/>
        <v>6.28</v>
      </c>
      <c r="T93" s="219">
        <f t="shared" si="6"/>
        <v>0</v>
      </c>
    </row>
    <row r="94" spans="1:20" x14ac:dyDescent="0.2">
      <c r="A94" s="376">
        <v>16260</v>
      </c>
      <c r="B94" s="376" t="s">
        <v>227</v>
      </c>
      <c r="C94" s="376" t="s">
        <v>129</v>
      </c>
      <c r="D94" s="404" t="s">
        <v>4</v>
      </c>
      <c r="E94" s="390"/>
      <c r="F94" s="81">
        <v>11787</v>
      </c>
      <c r="G94" s="81">
        <v>11787</v>
      </c>
      <c r="H94" s="81">
        <v>0</v>
      </c>
      <c r="I94" s="100"/>
      <c r="J94" s="81">
        <v>0</v>
      </c>
      <c r="K94" s="81">
        <v>0</v>
      </c>
      <c r="L94" s="81">
        <v>0</v>
      </c>
      <c r="M94" s="100"/>
      <c r="N94" s="81">
        <v>874</v>
      </c>
      <c r="O94" s="81">
        <v>856</v>
      </c>
      <c r="P94" s="81">
        <v>18</v>
      </c>
      <c r="R94" s="219">
        <f t="shared" si="4"/>
        <v>12661</v>
      </c>
      <c r="S94" s="219">
        <f t="shared" si="5"/>
        <v>12643</v>
      </c>
      <c r="T94" s="219">
        <f t="shared" si="6"/>
        <v>18</v>
      </c>
    </row>
    <row r="95" spans="1:20" x14ac:dyDescent="0.2">
      <c r="A95" s="376">
        <v>16350</v>
      </c>
      <c r="B95" s="376" t="s">
        <v>228</v>
      </c>
      <c r="C95" s="376" t="s">
        <v>129</v>
      </c>
      <c r="D95" s="404" t="s">
        <v>4</v>
      </c>
      <c r="E95" s="390"/>
      <c r="F95" s="81">
        <v>30764</v>
      </c>
      <c r="G95" s="81">
        <v>29267</v>
      </c>
      <c r="H95" s="81">
        <v>1497</v>
      </c>
      <c r="I95" s="100"/>
      <c r="J95" s="81">
        <v>0</v>
      </c>
      <c r="K95" s="81">
        <v>0</v>
      </c>
      <c r="L95" s="81">
        <v>0</v>
      </c>
      <c r="M95" s="100"/>
      <c r="N95" s="81">
        <v>197</v>
      </c>
      <c r="O95" s="81">
        <v>0</v>
      </c>
      <c r="P95" s="81">
        <v>197</v>
      </c>
      <c r="R95" s="219">
        <f t="shared" si="4"/>
        <v>30961</v>
      </c>
      <c r="S95" s="219">
        <f t="shared" si="5"/>
        <v>29267</v>
      </c>
      <c r="T95" s="219">
        <f t="shared" si="6"/>
        <v>1694</v>
      </c>
    </row>
    <row r="96" spans="1:20" x14ac:dyDescent="0.2">
      <c r="A96" s="376">
        <v>16380</v>
      </c>
      <c r="B96" s="376" t="s">
        <v>187</v>
      </c>
      <c r="C96" s="376" t="s">
        <v>294</v>
      </c>
      <c r="D96" s="404" t="s">
        <v>5</v>
      </c>
      <c r="E96" s="390"/>
      <c r="F96" s="81">
        <v>12859</v>
      </c>
      <c r="G96" s="81">
        <v>12731</v>
      </c>
      <c r="H96" s="81">
        <v>128</v>
      </c>
      <c r="I96" s="100"/>
      <c r="J96" s="81">
        <v>6226.82</v>
      </c>
      <c r="K96" s="81">
        <v>6226.82</v>
      </c>
      <c r="L96" s="81">
        <v>0</v>
      </c>
      <c r="M96" s="100"/>
      <c r="N96" s="81">
        <v>0</v>
      </c>
      <c r="O96" s="81">
        <v>0</v>
      </c>
      <c r="P96" s="81">
        <v>0</v>
      </c>
      <c r="R96" s="219">
        <f t="shared" si="4"/>
        <v>19085.82</v>
      </c>
      <c r="S96" s="219">
        <f t="shared" si="5"/>
        <v>18957.82</v>
      </c>
      <c r="T96" s="219">
        <f t="shared" si="6"/>
        <v>128</v>
      </c>
    </row>
    <row r="97" spans="1:20" x14ac:dyDescent="0.2">
      <c r="A97" s="376">
        <v>16400</v>
      </c>
      <c r="B97" s="376" t="s">
        <v>229</v>
      </c>
      <c r="C97" s="376" t="s">
        <v>163</v>
      </c>
      <c r="D97" s="404" t="s">
        <v>3</v>
      </c>
      <c r="E97" s="390"/>
      <c r="F97" s="81">
        <v>0</v>
      </c>
      <c r="G97" s="81">
        <v>0</v>
      </c>
      <c r="H97" s="81">
        <v>0</v>
      </c>
      <c r="I97" s="100"/>
      <c r="J97" s="81">
        <v>3008.98</v>
      </c>
      <c r="K97" s="81">
        <v>3008.98</v>
      </c>
      <c r="L97" s="81">
        <v>0</v>
      </c>
      <c r="M97" s="100"/>
      <c r="N97" s="81">
        <v>0</v>
      </c>
      <c r="O97" s="81">
        <v>0</v>
      </c>
      <c r="P97" s="81">
        <v>0</v>
      </c>
      <c r="R97" s="219">
        <f t="shared" si="4"/>
        <v>3008.98</v>
      </c>
      <c r="S97" s="219">
        <f t="shared" si="5"/>
        <v>3008.98</v>
      </c>
      <c r="T97" s="219">
        <f t="shared" si="6"/>
        <v>0</v>
      </c>
    </row>
    <row r="98" spans="1:20" x14ac:dyDescent="0.2">
      <c r="A98" s="376">
        <v>16490</v>
      </c>
      <c r="B98" s="376" t="s">
        <v>225</v>
      </c>
      <c r="C98" s="376" t="s">
        <v>704</v>
      </c>
      <c r="D98" s="404" t="s">
        <v>2</v>
      </c>
      <c r="E98" s="390"/>
      <c r="F98" s="81">
        <v>3176.65</v>
      </c>
      <c r="G98" s="81">
        <v>3168.25</v>
      </c>
      <c r="H98" s="81">
        <v>8.4</v>
      </c>
      <c r="I98" s="100"/>
      <c r="J98" s="81">
        <v>3310</v>
      </c>
      <c r="K98" s="81">
        <v>3310</v>
      </c>
      <c r="L98" s="81">
        <v>0</v>
      </c>
      <c r="M98" s="100"/>
      <c r="N98" s="81">
        <v>0</v>
      </c>
      <c r="O98" s="81">
        <v>0</v>
      </c>
      <c r="P98" s="81">
        <v>0</v>
      </c>
      <c r="R98" s="219">
        <f t="shared" si="4"/>
        <v>6486.65</v>
      </c>
      <c r="S98" s="219">
        <f t="shared" si="5"/>
        <v>6478.25</v>
      </c>
      <c r="T98" s="219">
        <f t="shared" si="6"/>
        <v>8.4</v>
      </c>
    </row>
    <row r="99" spans="1:20" x14ac:dyDescent="0.2">
      <c r="A99" s="376">
        <v>16550</v>
      </c>
      <c r="B99" s="376" t="s">
        <v>230</v>
      </c>
      <c r="C99" s="376" t="s">
        <v>127</v>
      </c>
      <c r="D99" s="404" t="s">
        <v>4</v>
      </c>
      <c r="E99" s="390"/>
      <c r="F99" s="81">
        <v>6995</v>
      </c>
      <c r="G99" s="81">
        <v>6891</v>
      </c>
      <c r="H99" s="81">
        <v>104</v>
      </c>
      <c r="I99" s="100"/>
      <c r="J99" s="81">
        <v>290</v>
      </c>
      <c r="K99" s="81">
        <v>290</v>
      </c>
      <c r="L99" s="81">
        <v>0</v>
      </c>
      <c r="M99" s="100"/>
      <c r="N99" s="81">
        <v>0</v>
      </c>
      <c r="O99" s="81">
        <v>0</v>
      </c>
      <c r="P99" s="81">
        <v>0</v>
      </c>
      <c r="R99" s="219">
        <f t="shared" si="4"/>
        <v>7285</v>
      </c>
      <c r="S99" s="219">
        <f t="shared" si="5"/>
        <v>7181</v>
      </c>
      <c r="T99" s="219">
        <f t="shared" si="6"/>
        <v>104</v>
      </c>
    </row>
    <row r="100" spans="1:20" x14ac:dyDescent="0.2">
      <c r="A100" s="376">
        <v>16610</v>
      </c>
      <c r="B100" s="376" t="s">
        <v>231</v>
      </c>
      <c r="C100" s="376" t="s">
        <v>131</v>
      </c>
      <c r="D100" s="404" t="s">
        <v>5</v>
      </c>
      <c r="E100" s="390"/>
      <c r="F100" s="81">
        <v>3085</v>
      </c>
      <c r="G100" s="81">
        <v>3067.12</v>
      </c>
      <c r="H100" s="81">
        <v>17.88</v>
      </c>
      <c r="I100" s="100"/>
      <c r="J100" s="81">
        <v>1009</v>
      </c>
      <c r="K100" s="81">
        <v>1009</v>
      </c>
      <c r="L100" s="81">
        <v>0</v>
      </c>
      <c r="M100" s="100"/>
      <c r="N100" s="81">
        <v>0</v>
      </c>
      <c r="O100" s="81">
        <v>0</v>
      </c>
      <c r="P100" s="81">
        <v>0</v>
      </c>
      <c r="R100" s="219">
        <f t="shared" si="4"/>
        <v>4094</v>
      </c>
      <c r="S100" s="219">
        <f t="shared" si="5"/>
        <v>4076.12</v>
      </c>
      <c r="T100" s="219">
        <f t="shared" si="6"/>
        <v>17.88</v>
      </c>
    </row>
    <row r="101" spans="1:20" x14ac:dyDescent="0.2">
      <c r="A101" s="376">
        <v>16700</v>
      </c>
      <c r="B101" s="376" t="s">
        <v>232</v>
      </c>
      <c r="C101" s="376" t="s">
        <v>190</v>
      </c>
      <c r="D101" s="404" t="s">
        <v>4</v>
      </c>
      <c r="E101" s="390"/>
      <c r="F101" s="81">
        <v>9051.9</v>
      </c>
      <c r="G101" s="81">
        <v>8870.9</v>
      </c>
      <c r="H101" s="81">
        <v>181</v>
      </c>
      <c r="I101" s="100"/>
      <c r="J101" s="81">
        <v>0</v>
      </c>
      <c r="K101" s="81">
        <v>0</v>
      </c>
      <c r="L101" s="81">
        <v>0</v>
      </c>
      <c r="M101" s="100"/>
      <c r="N101" s="81">
        <v>444.34</v>
      </c>
      <c r="O101" s="81">
        <v>444.34</v>
      </c>
      <c r="P101" s="81">
        <v>0</v>
      </c>
      <c r="R101" s="219">
        <f t="shared" si="4"/>
        <v>9496.24</v>
      </c>
      <c r="S101" s="219">
        <f t="shared" si="5"/>
        <v>9315.24</v>
      </c>
      <c r="T101" s="219">
        <f t="shared" si="6"/>
        <v>181</v>
      </c>
    </row>
    <row r="102" spans="1:20" x14ac:dyDescent="0.2">
      <c r="A102" s="376">
        <v>16900</v>
      </c>
      <c r="B102" s="376" t="s">
        <v>233</v>
      </c>
      <c r="C102" s="376" t="s">
        <v>291</v>
      </c>
      <c r="D102" s="404" t="s">
        <v>3</v>
      </c>
      <c r="E102" s="390"/>
      <c r="F102" s="81">
        <v>11560.15</v>
      </c>
      <c r="G102" s="81">
        <v>11453.77</v>
      </c>
      <c r="H102" s="81">
        <v>106.38</v>
      </c>
      <c r="I102" s="100"/>
      <c r="J102" s="81">
        <v>1587</v>
      </c>
      <c r="K102" s="81">
        <v>1587</v>
      </c>
      <c r="L102" s="81">
        <v>0</v>
      </c>
      <c r="M102" s="100"/>
      <c r="N102" s="81">
        <v>0.4</v>
      </c>
      <c r="O102" s="81">
        <v>0.4</v>
      </c>
      <c r="P102" s="81">
        <v>0</v>
      </c>
      <c r="R102" s="219">
        <f t="shared" si="4"/>
        <v>13147.55</v>
      </c>
      <c r="S102" s="219">
        <f t="shared" si="5"/>
        <v>13041.17</v>
      </c>
      <c r="T102" s="219">
        <f t="shared" si="6"/>
        <v>106.38</v>
      </c>
    </row>
    <row r="103" spans="1:20" x14ac:dyDescent="0.2">
      <c r="A103" s="376">
        <v>16950</v>
      </c>
      <c r="B103" s="376" t="s">
        <v>234</v>
      </c>
      <c r="C103" s="376" t="s">
        <v>291</v>
      </c>
      <c r="D103" s="404" t="s">
        <v>3</v>
      </c>
      <c r="E103" s="390"/>
      <c r="F103" s="81">
        <v>0</v>
      </c>
      <c r="G103" s="81">
        <v>0</v>
      </c>
      <c r="H103" s="81">
        <v>0</v>
      </c>
      <c r="I103" s="100"/>
      <c r="J103" s="81">
        <v>6652.6</v>
      </c>
      <c r="K103" s="81">
        <v>6652.6</v>
      </c>
      <c r="L103" s="81">
        <v>0</v>
      </c>
      <c r="M103" s="100"/>
      <c r="N103" s="81">
        <v>4240.2</v>
      </c>
      <c r="O103" s="81">
        <v>4240.2</v>
      </c>
      <c r="P103" s="81">
        <v>0</v>
      </c>
      <c r="R103" s="219">
        <f t="shared" si="4"/>
        <v>10892.8</v>
      </c>
      <c r="S103" s="219">
        <f t="shared" si="5"/>
        <v>10892.8</v>
      </c>
      <c r="T103" s="219">
        <f t="shared" si="6"/>
        <v>0</v>
      </c>
    </row>
    <row r="104" spans="1:20" x14ac:dyDescent="0.2">
      <c r="A104" s="376">
        <v>17000</v>
      </c>
      <c r="B104" s="376" t="s">
        <v>235</v>
      </c>
      <c r="C104" s="376" t="s">
        <v>163</v>
      </c>
      <c r="D104" s="404" t="s">
        <v>5</v>
      </c>
      <c r="E104" s="390"/>
      <c r="F104" s="81">
        <v>550.07000000000005</v>
      </c>
      <c r="G104" s="81">
        <v>550.07000000000005</v>
      </c>
      <c r="H104" s="81">
        <v>0</v>
      </c>
      <c r="I104" s="100"/>
      <c r="J104" s="81">
        <v>0</v>
      </c>
      <c r="K104" s="81">
        <v>0</v>
      </c>
      <c r="L104" s="81">
        <v>0</v>
      </c>
      <c r="M104" s="100"/>
      <c r="N104" s="81">
        <v>0</v>
      </c>
      <c r="O104" s="81">
        <v>0</v>
      </c>
      <c r="P104" s="81">
        <v>0</v>
      </c>
      <c r="R104" s="219">
        <f t="shared" si="4"/>
        <v>550.07000000000005</v>
      </c>
      <c r="S104" s="219">
        <f t="shared" si="5"/>
        <v>550.07000000000005</v>
      </c>
      <c r="T104" s="219">
        <f t="shared" si="6"/>
        <v>0</v>
      </c>
    </row>
    <row r="105" spans="1:20" x14ac:dyDescent="0.2">
      <c r="A105" s="376">
        <v>17040</v>
      </c>
      <c r="B105" s="376" t="s">
        <v>147</v>
      </c>
      <c r="C105" s="376" t="s">
        <v>704</v>
      </c>
      <c r="D105" s="404" t="s">
        <v>2</v>
      </c>
      <c r="E105" s="390"/>
      <c r="F105" s="81">
        <v>777.46</v>
      </c>
      <c r="G105" s="81">
        <v>770.46</v>
      </c>
      <c r="H105" s="81">
        <v>7</v>
      </c>
      <c r="I105" s="100"/>
      <c r="J105" s="81">
        <v>175.88</v>
      </c>
      <c r="K105" s="81">
        <v>171.88</v>
      </c>
      <c r="L105" s="81">
        <v>4</v>
      </c>
      <c r="M105" s="100"/>
      <c r="N105" s="81">
        <v>0</v>
      </c>
      <c r="O105" s="81">
        <v>0</v>
      </c>
      <c r="P105" s="81">
        <v>0</v>
      </c>
      <c r="R105" s="219">
        <f t="shared" si="4"/>
        <v>953.34</v>
      </c>
      <c r="S105" s="219">
        <f t="shared" si="5"/>
        <v>942.34</v>
      </c>
      <c r="T105" s="219">
        <f t="shared" si="6"/>
        <v>11</v>
      </c>
    </row>
    <row r="106" spans="1:20" x14ac:dyDescent="0.2">
      <c r="A106" s="376">
        <v>17080</v>
      </c>
      <c r="B106" s="376" t="s">
        <v>242</v>
      </c>
      <c r="C106" s="376" t="s">
        <v>142</v>
      </c>
      <c r="D106" s="404" t="s">
        <v>2</v>
      </c>
      <c r="E106" s="390"/>
      <c r="F106" s="81">
        <v>0</v>
      </c>
      <c r="G106" s="81">
        <v>0</v>
      </c>
      <c r="H106" s="81">
        <v>0</v>
      </c>
      <c r="I106" s="100"/>
      <c r="J106" s="81">
        <v>0</v>
      </c>
      <c r="K106" s="81">
        <v>0</v>
      </c>
      <c r="L106" s="81">
        <v>0</v>
      </c>
      <c r="M106" s="100"/>
      <c r="N106" s="81">
        <v>0</v>
      </c>
      <c r="O106" s="81">
        <v>0</v>
      </c>
      <c r="P106" s="81">
        <v>0</v>
      </c>
      <c r="R106" s="219">
        <f t="shared" si="4"/>
        <v>0</v>
      </c>
      <c r="S106" s="219">
        <f t="shared" si="5"/>
        <v>0</v>
      </c>
      <c r="T106" s="219">
        <f t="shared" si="6"/>
        <v>0</v>
      </c>
    </row>
    <row r="107" spans="1:20" x14ac:dyDescent="0.2">
      <c r="A107" s="376">
        <v>17100</v>
      </c>
      <c r="B107" s="376" t="s">
        <v>236</v>
      </c>
      <c r="C107" s="376"/>
      <c r="D107" s="404" t="s">
        <v>4</v>
      </c>
      <c r="E107" s="390"/>
      <c r="F107" s="81">
        <v>1765.68</v>
      </c>
      <c r="G107" s="81">
        <v>1765.68</v>
      </c>
      <c r="H107" s="81">
        <v>0</v>
      </c>
      <c r="I107" s="100"/>
      <c r="J107" s="81">
        <v>0</v>
      </c>
      <c r="K107" s="81">
        <v>0</v>
      </c>
      <c r="L107" s="81">
        <v>0</v>
      </c>
      <c r="M107" s="100"/>
      <c r="N107" s="81">
        <v>0</v>
      </c>
      <c r="O107" s="81">
        <v>0</v>
      </c>
      <c r="P107" s="81">
        <v>0</v>
      </c>
      <c r="R107" s="219">
        <f t="shared" si="4"/>
        <v>1765.68</v>
      </c>
      <c r="S107" s="219">
        <f t="shared" si="5"/>
        <v>1765.68</v>
      </c>
      <c r="T107" s="219">
        <f t="shared" si="6"/>
        <v>0</v>
      </c>
    </row>
    <row r="108" spans="1:20" x14ac:dyDescent="0.2">
      <c r="A108" s="376">
        <v>17150</v>
      </c>
      <c r="B108" s="376" t="s">
        <v>237</v>
      </c>
      <c r="C108" s="376" t="s">
        <v>127</v>
      </c>
      <c r="D108" s="404" t="s">
        <v>4</v>
      </c>
      <c r="E108" s="390"/>
      <c r="F108" s="81">
        <v>28682</v>
      </c>
      <c r="G108" s="81">
        <v>28682</v>
      </c>
      <c r="H108" s="81">
        <v>0</v>
      </c>
      <c r="I108" s="100"/>
      <c r="J108" s="81">
        <v>0</v>
      </c>
      <c r="K108" s="81">
        <v>0</v>
      </c>
      <c r="L108" s="81">
        <v>0</v>
      </c>
      <c r="M108" s="100"/>
      <c r="N108" s="81">
        <v>50</v>
      </c>
      <c r="O108" s="81">
        <v>50</v>
      </c>
      <c r="P108" s="81">
        <v>0</v>
      </c>
      <c r="R108" s="219">
        <f t="shared" si="4"/>
        <v>28732</v>
      </c>
      <c r="S108" s="219">
        <f t="shared" si="5"/>
        <v>28732</v>
      </c>
      <c r="T108" s="219">
        <f t="shared" si="6"/>
        <v>0</v>
      </c>
    </row>
    <row r="109" spans="1:20" x14ac:dyDescent="0.2">
      <c r="A109" s="376">
        <v>17200</v>
      </c>
      <c r="B109" s="376" t="s">
        <v>238</v>
      </c>
      <c r="C109" s="376" t="s">
        <v>127</v>
      </c>
      <c r="D109" s="404" t="s">
        <v>4</v>
      </c>
      <c r="E109" s="390"/>
      <c r="F109" s="81">
        <v>1047</v>
      </c>
      <c r="G109" s="81">
        <v>1047</v>
      </c>
      <c r="H109" s="81">
        <v>0</v>
      </c>
      <c r="I109" s="100"/>
      <c r="J109" s="81">
        <v>0</v>
      </c>
      <c r="K109" s="81">
        <v>0</v>
      </c>
      <c r="L109" s="81">
        <v>0</v>
      </c>
      <c r="M109" s="100"/>
      <c r="N109" s="81">
        <v>0</v>
      </c>
      <c r="O109" s="81">
        <v>0</v>
      </c>
      <c r="P109" s="81">
        <v>0</v>
      </c>
      <c r="R109" s="219">
        <f t="shared" si="4"/>
        <v>1047</v>
      </c>
      <c r="S109" s="219">
        <f t="shared" si="5"/>
        <v>1047</v>
      </c>
      <c r="T109" s="219">
        <f t="shared" si="6"/>
        <v>0</v>
      </c>
    </row>
    <row r="110" spans="1:20" x14ac:dyDescent="0.2">
      <c r="A110" s="376">
        <v>17310</v>
      </c>
      <c r="B110" s="376" t="s">
        <v>239</v>
      </c>
      <c r="C110" s="376" t="s">
        <v>125</v>
      </c>
      <c r="D110" s="404" t="s">
        <v>2</v>
      </c>
      <c r="E110" s="390"/>
      <c r="F110" s="81">
        <v>5201.8999999999996</v>
      </c>
      <c r="G110" s="81">
        <v>5176.7</v>
      </c>
      <c r="H110" s="81">
        <v>25.2</v>
      </c>
      <c r="I110" s="100"/>
      <c r="J110" s="81">
        <v>0</v>
      </c>
      <c r="K110" s="81">
        <v>0</v>
      </c>
      <c r="L110" s="81">
        <v>0</v>
      </c>
      <c r="M110" s="100"/>
      <c r="N110" s="81">
        <v>0</v>
      </c>
      <c r="O110" s="81">
        <v>0</v>
      </c>
      <c r="P110" s="81">
        <v>0</v>
      </c>
      <c r="R110" s="219">
        <f t="shared" si="4"/>
        <v>5201.8999999999996</v>
      </c>
      <c r="S110" s="219">
        <f t="shared" si="5"/>
        <v>5176.7</v>
      </c>
      <c r="T110" s="219">
        <f t="shared" si="6"/>
        <v>25.2</v>
      </c>
    </row>
    <row r="111" spans="1:20" x14ac:dyDescent="0.2">
      <c r="A111" s="376">
        <v>17350</v>
      </c>
      <c r="B111" s="376" t="s">
        <v>240</v>
      </c>
      <c r="C111" s="376" t="s">
        <v>142</v>
      </c>
      <c r="D111" s="404" t="s">
        <v>2</v>
      </c>
      <c r="E111" s="390"/>
      <c r="F111" s="81">
        <v>0</v>
      </c>
      <c r="G111" s="81">
        <v>0</v>
      </c>
      <c r="H111" s="81">
        <v>0</v>
      </c>
      <c r="I111" s="100"/>
      <c r="J111" s="81">
        <v>0</v>
      </c>
      <c r="K111" s="81">
        <v>0</v>
      </c>
      <c r="L111" s="81">
        <v>0</v>
      </c>
      <c r="M111" s="100"/>
      <c r="N111" s="81">
        <v>10</v>
      </c>
      <c r="O111" s="81">
        <v>0</v>
      </c>
      <c r="P111" s="81">
        <v>10</v>
      </c>
      <c r="R111" s="219">
        <f t="shared" si="4"/>
        <v>10</v>
      </c>
      <c r="S111" s="219">
        <f t="shared" si="5"/>
        <v>0</v>
      </c>
      <c r="T111" s="219">
        <f t="shared" si="6"/>
        <v>10</v>
      </c>
    </row>
    <row r="112" spans="1:20" x14ac:dyDescent="0.2">
      <c r="A112" s="376">
        <v>17400</v>
      </c>
      <c r="B112" s="376" t="s">
        <v>241</v>
      </c>
      <c r="C112" s="376" t="s">
        <v>125</v>
      </c>
      <c r="D112" s="404" t="s">
        <v>2</v>
      </c>
      <c r="E112" s="390"/>
      <c r="F112" s="81">
        <v>0</v>
      </c>
      <c r="G112" s="81">
        <v>0</v>
      </c>
      <c r="H112" s="81">
        <v>0</v>
      </c>
      <c r="I112" s="100"/>
      <c r="J112" s="81">
        <v>0</v>
      </c>
      <c r="K112" s="81">
        <v>0</v>
      </c>
      <c r="L112" s="81">
        <v>0</v>
      </c>
      <c r="M112" s="100"/>
      <c r="N112" s="81">
        <v>0</v>
      </c>
      <c r="O112" s="81">
        <v>0</v>
      </c>
      <c r="P112" s="81">
        <v>0</v>
      </c>
      <c r="R112" s="219">
        <f t="shared" si="4"/>
        <v>0</v>
      </c>
      <c r="S112" s="219">
        <f t="shared" si="5"/>
        <v>0</v>
      </c>
      <c r="T112" s="219">
        <f t="shared" si="6"/>
        <v>0</v>
      </c>
    </row>
    <row r="113" spans="1:20" x14ac:dyDescent="0.2">
      <c r="A113" s="376">
        <v>17420</v>
      </c>
      <c r="B113" s="376" t="s">
        <v>136</v>
      </c>
      <c r="C113" s="376" t="s">
        <v>129</v>
      </c>
      <c r="D113" s="404" t="s">
        <v>4</v>
      </c>
      <c r="E113" s="390"/>
      <c r="F113" s="81">
        <v>18844.12</v>
      </c>
      <c r="G113" s="81">
        <v>18731.059999999998</v>
      </c>
      <c r="H113" s="81">
        <v>113.06</v>
      </c>
      <c r="I113" s="100"/>
      <c r="J113" s="81">
        <v>0</v>
      </c>
      <c r="K113" s="81">
        <v>0</v>
      </c>
      <c r="L113" s="81">
        <v>0</v>
      </c>
      <c r="M113" s="100"/>
      <c r="N113" s="81">
        <v>2555.1</v>
      </c>
      <c r="O113" s="81">
        <v>2555.1</v>
      </c>
      <c r="P113" s="81">
        <v>0</v>
      </c>
      <c r="R113" s="219">
        <f t="shared" si="4"/>
        <v>21399.219999999998</v>
      </c>
      <c r="S113" s="219">
        <f t="shared" si="5"/>
        <v>21286.159999999996</v>
      </c>
      <c r="T113" s="219">
        <f t="shared" si="6"/>
        <v>113.06</v>
      </c>
    </row>
    <row r="114" spans="1:20" x14ac:dyDescent="0.2">
      <c r="A114" s="376">
        <v>17550</v>
      </c>
      <c r="B114" s="376" t="s">
        <v>243</v>
      </c>
      <c r="C114" s="376" t="s">
        <v>131</v>
      </c>
      <c r="D114" s="404" t="s">
        <v>5</v>
      </c>
      <c r="E114" s="390"/>
      <c r="F114" s="81">
        <v>5981</v>
      </c>
      <c r="G114" s="81">
        <v>5832</v>
      </c>
      <c r="H114" s="81">
        <v>149</v>
      </c>
      <c r="I114" s="100"/>
      <c r="J114" s="81">
        <v>3927.47</v>
      </c>
      <c r="K114" s="81">
        <v>3927.47</v>
      </c>
      <c r="L114" s="81">
        <v>0</v>
      </c>
      <c r="M114" s="100"/>
      <c r="N114" s="81">
        <v>0</v>
      </c>
      <c r="O114" s="81">
        <v>0</v>
      </c>
      <c r="P114" s="81">
        <v>0</v>
      </c>
      <c r="R114" s="219">
        <f t="shared" si="4"/>
        <v>9908.4699999999993</v>
      </c>
      <c r="S114" s="219">
        <f t="shared" si="5"/>
        <v>9759.4699999999993</v>
      </c>
      <c r="T114" s="219">
        <f t="shared" si="6"/>
        <v>149</v>
      </c>
    </row>
    <row r="115" spans="1:20" x14ac:dyDescent="0.2">
      <c r="A115" s="376">
        <v>17620</v>
      </c>
      <c r="B115" s="376" t="s">
        <v>244</v>
      </c>
      <c r="C115" s="376" t="s">
        <v>163</v>
      </c>
      <c r="D115" s="404" t="s">
        <v>5</v>
      </c>
      <c r="E115" s="390"/>
      <c r="F115" s="81">
        <v>0</v>
      </c>
      <c r="G115" s="81">
        <v>0</v>
      </c>
      <c r="H115" s="81">
        <v>0</v>
      </c>
      <c r="I115" s="100"/>
      <c r="J115" s="81">
        <v>551</v>
      </c>
      <c r="K115" s="81">
        <v>0</v>
      </c>
      <c r="L115" s="81">
        <v>551</v>
      </c>
      <c r="M115" s="100"/>
      <c r="N115" s="81">
        <v>0</v>
      </c>
      <c r="O115" s="81">
        <v>0</v>
      </c>
      <c r="P115" s="81">
        <v>0</v>
      </c>
      <c r="R115" s="219">
        <f t="shared" si="4"/>
        <v>551</v>
      </c>
      <c r="S115" s="219">
        <f t="shared" si="5"/>
        <v>0</v>
      </c>
      <c r="T115" s="219">
        <f t="shared" si="6"/>
        <v>551</v>
      </c>
    </row>
    <row r="116" spans="1:20" x14ac:dyDescent="0.2">
      <c r="A116" s="376">
        <v>17640</v>
      </c>
      <c r="B116" s="376" t="s">
        <v>245</v>
      </c>
      <c r="C116" s="376" t="s">
        <v>704</v>
      </c>
      <c r="D116" s="404" t="s">
        <v>2</v>
      </c>
      <c r="E116" s="390"/>
      <c r="F116" s="81">
        <v>0</v>
      </c>
      <c r="G116" s="81">
        <v>0</v>
      </c>
      <c r="H116" s="81">
        <v>0</v>
      </c>
      <c r="I116" s="100"/>
      <c r="J116" s="81">
        <v>0</v>
      </c>
      <c r="K116" s="81">
        <v>0</v>
      </c>
      <c r="L116" s="81">
        <v>0</v>
      </c>
      <c r="M116" s="100"/>
      <c r="N116" s="81">
        <v>0</v>
      </c>
      <c r="O116" s="81">
        <v>0</v>
      </c>
      <c r="P116" s="81">
        <v>0</v>
      </c>
      <c r="R116" s="219">
        <f t="shared" si="4"/>
        <v>0</v>
      </c>
      <c r="S116" s="219">
        <f t="shared" si="5"/>
        <v>0</v>
      </c>
      <c r="T116" s="219">
        <f t="shared" si="6"/>
        <v>0</v>
      </c>
    </row>
    <row r="117" spans="1:20" x14ac:dyDescent="0.2">
      <c r="A117" s="376">
        <v>17650</v>
      </c>
      <c r="B117" s="376" t="s">
        <v>246</v>
      </c>
      <c r="C117" s="376" t="s">
        <v>125</v>
      </c>
      <c r="D117" s="404" t="s">
        <v>2</v>
      </c>
      <c r="E117" s="390"/>
      <c r="F117" s="81">
        <v>32.54</v>
      </c>
      <c r="G117" s="81">
        <v>32.54</v>
      </c>
      <c r="H117" s="81">
        <v>0</v>
      </c>
      <c r="I117" s="100"/>
      <c r="J117" s="81">
        <v>0</v>
      </c>
      <c r="K117" s="81">
        <v>0</v>
      </c>
      <c r="L117" s="81">
        <v>0</v>
      </c>
      <c r="M117" s="100"/>
      <c r="N117" s="81">
        <v>0</v>
      </c>
      <c r="O117" s="81">
        <v>0</v>
      </c>
      <c r="P117" s="81">
        <v>0</v>
      </c>
      <c r="R117" s="219">
        <f t="shared" si="4"/>
        <v>32.54</v>
      </c>
      <c r="S117" s="219">
        <f t="shared" si="5"/>
        <v>32.54</v>
      </c>
      <c r="T117" s="219">
        <f t="shared" si="6"/>
        <v>0</v>
      </c>
    </row>
    <row r="118" spans="1:20" x14ac:dyDescent="0.2">
      <c r="A118" s="376">
        <v>17750</v>
      </c>
      <c r="B118" s="376" t="s">
        <v>247</v>
      </c>
      <c r="C118" s="376" t="s">
        <v>142</v>
      </c>
      <c r="D118" s="404" t="s">
        <v>2</v>
      </c>
      <c r="E118" s="390"/>
      <c r="F118" s="81">
        <v>6872</v>
      </c>
      <c r="G118" s="81">
        <v>0</v>
      </c>
      <c r="H118" s="81">
        <v>6872</v>
      </c>
      <c r="I118" s="100"/>
      <c r="J118" s="81">
        <v>1225</v>
      </c>
      <c r="K118" s="81">
        <v>0</v>
      </c>
      <c r="L118" s="81">
        <v>1225</v>
      </c>
      <c r="M118" s="100"/>
      <c r="N118" s="81">
        <v>0</v>
      </c>
      <c r="O118" s="81">
        <v>0</v>
      </c>
      <c r="P118" s="81">
        <v>0</v>
      </c>
      <c r="R118" s="219">
        <f t="shared" si="4"/>
        <v>8097</v>
      </c>
      <c r="S118" s="219">
        <f t="shared" si="5"/>
        <v>0</v>
      </c>
      <c r="T118" s="219">
        <f t="shared" si="6"/>
        <v>8097</v>
      </c>
    </row>
    <row r="119" spans="1:20" x14ac:dyDescent="0.2">
      <c r="A119" s="376">
        <v>17850</v>
      </c>
      <c r="B119" s="376" t="s">
        <v>248</v>
      </c>
      <c r="C119" s="376" t="s">
        <v>125</v>
      </c>
      <c r="D119" s="404" t="s">
        <v>2</v>
      </c>
      <c r="E119" s="390"/>
      <c r="F119" s="81">
        <v>71.88</v>
      </c>
      <c r="G119" s="81">
        <v>0</v>
      </c>
      <c r="H119" s="81">
        <v>71.88</v>
      </c>
      <c r="I119" s="100"/>
      <c r="J119" s="81">
        <v>1617</v>
      </c>
      <c r="K119" s="81">
        <v>1617</v>
      </c>
      <c r="L119" s="81">
        <v>0</v>
      </c>
      <c r="M119" s="100"/>
      <c r="N119" s="81">
        <v>0</v>
      </c>
      <c r="O119" s="81">
        <v>0</v>
      </c>
      <c r="P119" s="81">
        <v>0</v>
      </c>
      <c r="R119" s="219">
        <f t="shared" si="4"/>
        <v>1688.88</v>
      </c>
      <c r="S119" s="219">
        <f t="shared" si="5"/>
        <v>1617</v>
      </c>
      <c r="T119" s="219">
        <f t="shared" si="6"/>
        <v>71.88</v>
      </c>
    </row>
    <row r="120" spans="1:20" x14ac:dyDescent="0.2">
      <c r="A120" s="376">
        <v>17900</v>
      </c>
      <c r="B120" s="376" t="s">
        <v>249</v>
      </c>
      <c r="C120" s="376" t="s">
        <v>293</v>
      </c>
      <c r="D120" s="404" t="s">
        <v>2</v>
      </c>
      <c r="E120" s="390"/>
      <c r="F120" s="81">
        <v>0</v>
      </c>
      <c r="G120" s="81">
        <v>0</v>
      </c>
      <c r="H120" s="81">
        <v>0</v>
      </c>
      <c r="I120" s="100"/>
      <c r="J120" s="81">
        <v>0</v>
      </c>
      <c r="K120" s="81">
        <v>0</v>
      </c>
      <c r="L120" s="81">
        <v>0</v>
      </c>
      <c r="M120" s="100"/>
      <c r="N120" s="81">
        <v>0</v>
      </c>
      <c r="O120" s="81">
        <v>0</v>
      </c>
      <c r="P120" s="81">
        <v>0</v>
      </c>
      <c r="R120" s="219">
        <f t="shared" si="4"/>
        <v>0</v>
      </c>
      <c r="S120" s="219">
        <f t="shared" si="5"/>
        <v>0</v>
      </c>
      <c r="T120" s="219">
        <f t="shared" si="6"/>
        <v>0</v>
      </c>
    </row>
    <row r="121" spans="1:20" x14ac:dyDescent="0.2">
      <c r="A121" s="376">
        <v>17950</v>
      </c>
      <c r="B121" s="376" t="s">
        <v>250</v>
      </c>
      <c r="C121" s="376" t="s">
        <v>293</v>
      </c>
      <c r="D121" s="404" t="s">
        <v>2</v>
      </c>
      <c r="E121" s="390"/>
      <c r="F121" s="81">
        <v>0</v>
      </c>
      <c r="G121" s="81">
        <v>0</v>
      </c>
      <c r="H121" s="81">
        <v>0</v>
      </c>
      <c r="I121" s="100"/>
      <c r="J121" s="81">
        <v>640</v>
      </c>
      <c r="K121" s="81">
        <v>640</v>
      </c>
      <c r="L121" s="81">
        <v>0</v>
      </c>
      <c r="M121" s="100"/>
      <c r="N121" s="81">
        <v>0</v>
      </c>
      <c r="O121" s="81">
        <v>0</v>
      </c>
      <c r="P121" s="81">
        <v>0</v>
      </c>
      <c r="R121" s="219">
        <f t="shared" si="4"/>
        <v>640</v>
      </c>
      <c r="S121" s="219">
        <f t="shared" si="5"/>
        <v>640</v>
      </c>
      <c r="T121" s="219">
        <f t="shared" si="6"/>
        <v>0</v>
      </c>
    </row>
    <row r="122" spans="1:20" x14ac:dyDescent="0.2">
      <c r="A122" s="376">
        <v>18020</v>
      </c>
      <c r="B122" s="376" t="s">
        <v>251</v>
      </c>
      <c r="C122" s="376" t="s">
        <v>293</v>
      </c>
      <c r="D122" s="404" t="s">
        <v>2</v>
      </c>
      <c r="E122" s="390"/>
      <c r="F122" s="81">
        <v>0</v>
      </c>
      <c r="G122" s="81">
        <v>0</v>
      </c>
      <c r="H122" s="81">
        <v>0</v>
      </c>
      <c r="I122" s="100"/>
      <c r="J122" s="81">
        <v>0</v>
      </c>
      <c r="K122" s="81">
        <v>0</v>
      </c>
      <c r="L122" s="81">
        <v>0</v>
      </c>
      <c r="M122" s="100"/>
      <c r="N122" s="81">
        <v>0</v>
      </c>
      <c r="O122" s="81">
        <v>0</v>
      </c>
      <c r="P122" s="81">
        <v>0</v>
      </c>
      <c r="R122" s="219">
        <f t="shared" si="4"/>
        <v>0</v>
      </c>
      <c r="S122" s="219">
        <f t="shared" si="5"/>
        <v>0</v>
      </c>
      <c r="T122" s="219">
        <f t="shared" si="6"/>
        <v>0</v>
      </c>
    </row>
    <row r="123" spans="1:20" x14ac:dyDescent="0.2">
      <c r="A123" s="376">
        <v>18050</v>
      </c>
      <c r="B123" s="376" t="s">
        <v>252</v>
      </c>
      <c r="C123" s="376" t="s">
        <v>127</v>
      </c>
      <c r="D123" s="404" t="s">
        <v>4</v>
      </c>
      <c r="E123" s="390"/>
      <c r="F123" s="81">
        <v>2159.2600000000002</v>
      </c>
      <c r="G123" s="81">
        <v>2159.2600000000002</v>
      </c>
      <c r="H123" s="81">
        <v>0</v>
      </c>
      <c r="I123" s="100"/>
      <c r="J123" s="81">
        <v>0</v>
      </c>
      <c r="K123" s="81">
        <v>0</v>
      </c>
      <c r="L123" s="81">
        <v>0</v>
      </c>
      <c r="M123" s="100"/>
      <c r="N123" s="81">
        <v>0</v>
      </c>
      <c r="O123" s="81">
        <v>0</v>
      </c>
      <c r="P123" s="81">
        <v>0</v>
      </c>
      <c r="R123" s="219">
        <f t="shared" si="4"/>
        <v>2159.2600000000002</v>
      </c>
      <c r="S123" s="219">
        <f t="shared" si="5"/>
        <v>2159.2600000000002</v>
      </c>
      <c r="T123" s="219">
        <f t="shared" si="6"/>
        <v>0</v>
      </c>
    </row>
    <row r="124" spans="1:20" x14ac:dyDescent="0.2">
      <c r="A124" s="376">
        <v>18100</v>
      </c>
      <c r="B124" s="376" t="s">
        <v>253</v>
      </c>
      <c r="C124" s="376" t="s">
        <v>293</v>
      </c>
      <c r="D124" s="404" t="s">
        <v>2</v>
      </c>
      <c r="E124" s="390"/>
      <c r="F124" s="81">
        <v>0</v>
      </c>
      <c r="G124" s="81">
        <v>0</v>
      </c>
      <c r="H124" s="81">
        <v>0</v>
      </c>
      <c r="I124" s="100"/>
      <c r="J124" s="81">
        <v>238.05</v>
      </c>
      <c r="K124" s="81">
        <v>0</v>
      </c>
      <c r="L124" s="81">
        <v>238.05</v>
      </c>
      <c r="M124" s="100"/>
      <c r="N124" s="81">
        <v>0</v>
      </c>
      <c r="O124" s="81">
        <v>0</v>
      </c>
      <c r="P124" s="81">
        <v>0</v>
      </c>
      <c r="R124" s="219">
        <f t="shared" si="4"/>
        <v>238.05</v>
      </c>
      <c r="S124" s="219">
        <f t="shared" si="5"/>
        <v>0</v>
      </c>
      <c r="T124" s="219">
        <f t="shared" si="6"/>
        <v>238.05</v>
      </c>
    </row>
    <row r="125" spans="1:20" x14ac:dyDescent="0.2">
      <c r="A125" s="376">
        <v>18200</v>
      </c>
      <c r="B125" s="376" t="s">
        <v>254</v>
      </c>
      <c r="C125" s="376" t="s">
        <v>703</v>
      </c>
      <c r="D125" s="404" t="s">
        <v>2</v>
      </c>
      <c r="E125" s="390"/>
      <c r="F125" s="81">
        <v>0</v>
      </c>
      <c r="G125" s="81">
        <v>0</v>
      </c>
      <c r="H125" s="81">
        <v>0</v>
      </c>
      <c r="I125" s="100"/>
      <c r="J125" s="81">
        <v>828</v>
      </c>
      <c r="K125" s="81">
        <v>828</v>
      </c>
      <c r="L125" s="81">
        <v>0</v>
      </c>
      <c r="M125" s="100"/>
      <c r="N125" s="81">
        <v>0</v>
      </c>
      <c r="O125" s="81">
        <v>0</v>
      </c>
      <c r="P125" s="81">
        <v>0</v>
      </c>
      <c r="R125" s="219">
        <f t="shared" si="4"/>
        <v>828</v>
      </c>
      <c r="S125" s="219">
        <f t="shared" si="5"/>
        <v>828</v>
      </c>
      <c r="T125" s="219">
        <f t="shared" si="6"/>
        <v>0</v>
      </c>
    </row>
    <row r="126" spans="1:20" x14ac:dyDescent="0.2">
      <c r="A126" s="376">
        <v>18230</v>
      </c>
      <c r="B126" s="376" t="s">
        <v>290</v>
      </c>
      <c r="C126" s="376" t="s">
        <v>293</v>
      </c>
      <c r="D126" s="404" t="s">
        <v>2</v>
      </c>
      <c r="E126" s="390"/>
      <c r="F126" s="81">
        <v>0</v>
      </c>
      <c r="G126" s="81">
        <v>0</v>
      </c>
      <c r="H126" s="81">
        <v>0</v>
      </c>
      <c r="I126" s="100"/>
      <c r="J126" s="81">
        <v>379</v>
      </c>
      <c r="K126" s="81">
        <v>379</v>
      </c>
      <c r="L126" s="81">
        <v>0</v>
      </c>
      <c r="M126" s="100"/>
      <c r="N126" s="81">
        <v>239</v>
      </c>
      <c r="O126" s="81">
        <v>239</v>
      </c>
      <c r="P126" s="81">
        <v>0</v>
      </c>
      <c r="R126" s="219">
        <f t="shared" si="4"/>
        <v>618</v>
      </c>
      <c r="S126" s="219">
        <f t="shared" si="5"/>
        <v>618</v>
      </c>
      <c r="T126" s="219">
        <f t="shared" si="6"/>
        <v>0</v>
      </c>
    </row>
    <row r="127" spans="1:20" x14ac:dyDescent="0.2">
      <c r="A127" s="376">
        <v>18250</v>
      </c>
      <c r="B127" s="376" t="s">
        <v>255</v>
      </c>
      <c r="C127" s="376" t="s">
        <v>190</v>
      </c>
      <c r="D127" s="404" t="s">
        <v>4</v>
      </c>
      <c r="E127" s="390"/>
      <c r="F127" s="81">
        <v>6471</v>
      </c>
      <c r="G127" s="81">
        <v>6336</v>
      </c>
      <c r="H127" s="81">
        <v>135</v>
      </c>
      <c r="I127" s="100"/>
      <c r="J127" s="81">
        <v>0</v>
      </c>
      <c r="K127" s="81">
        <v>0</v>
      </c>
      <c r="L127" s="81">
        <v>0</v>
      </c>
      <c r="M127" s="100"/>
      <c r="N127" s="81">
        <v>0</v>
      </c>
      <c r="O127" s="81">
        <v>0</v>
      </c>
      <c r="P127" s="81">
        <v>0</v>
      </c>
      <c r="R127" s="219">
        <f t="shared" si="4"/>
        <v>6471</v>
      </c>
      <c r="S127" s="219">
        <f t="shared" si="5"/>
        <v>6336</v>
      </c>
      <c r="T127" s="219">
        <f t="shared" si="6"/>
        <v>135</v>
      </c>
    </row>
    <row r="128" spans="1:20" x14ac:dyDescent="0.2">
      <c r="A128" s="376">
        <v>18350</v>
      </c>
      <c r="B128" s="376" t="s">
        <v>256</v>
      </c>
      <c r="C128" s="376" t="s">
        <v>291</v>
      </c>
      <c r="D128" s="404" t="s">
        <v>3</v>
      </c>
      <c r="E128" s="390"/>
      <c r="F128" s="81">
        <v>5241.3999999999996</v>
      </c>
      <c r="G128" s="81">
        <v>5196.3999999999996</v>
      </c>
      <c r="H128" s="81">
        <v>45</v>
      </c>
      <c r="I128" s="100"/>
      <c r="J128" s="81">
        <v>1918.69</v>
      </c>
      <c r="K128" s="81">
        <v>1918.69</v>
      </c>
      <c r="L128" s="81">
        <v>0</v>
      </c>
      <c r="M128" s="100"/>
      <c r="N128" s="81">
        <v>0</v>
      </c>
      <c r="O128" s="81">
        <v>0</v>
      </c>
      <c r="P128" s="81">
        <v>0</v>
      </c>
      <c r="R128" s="219">
        <f t="shared" si="4"/>
        <v>7160.09</v>
      </c>
      <c r="S128" s="219">
        <f t="shared" si="5"/>
        <v>7115.09</v>
      </c>
      <c r="T128" s="219">
        <f t="shared" si="6"/>
        <v>45</v>
      </c>
    </row>
    <row r="129" spans="1:23" x14ac:dyDescent="0.2">
      <c r="A129" s="376">
        <v>18400</v>
      </c>
      <c r="B129" s="376" t="s">
        <v>257</v>
      </c>
      <c r="C129" s="376" t="s">
        <v>156</v>
      </c>
      <c r="D129" s="404" t="s">
        <v>5</v>
      </c>
      <c r="E129" s="390"/>
      <c r="F129" s="81">
        <v>4397.6099999999997</v>
      </c>
      <c r="G129" s="81">
        <v>4397.6099999999997</v>
      </c>
      <c r="H129" s="81">
        <v>0</v>
      </c>
      <c r="I129" s="100"/>
      <c r="J129" s="81">
        <v>1456.63</v>
      </c>
      <c r="K129" s="81">
        <v>1456.63</v>
      </c>
      <c r="L129" s="81">
        <v>0</v>
      </c>
      <c r="M129" s="100"/>
      <c r="N129" s="81">
        <v>0</v>
      </c>
      <c r="O129" s="81">
        <v>0</v>
      </c>
      <c r="P129" s="81">
        <v>0</v>
      </c>
      <c r="R129" s="219">
        <f t="shared" si="4"/>
        <v>5854.24</v>
      </c>
      <c r="S129" s="219">
        <f t="shared" si="5"/>
        <v>5854.24</v>
      </c>
      <c r="T129" s="219">
        <f t="shared" si="6"/>
        <v>0</v>
      </c>
    </row>
    <row r="130" spans="1:23" x14ac:dyDescent="0.2">
      <c r="A130" s="376">
        <v>18450</v>
      </c>
      <c r="B130" s="376" t="s">
        <v>258</v>
      </c>
      <c r="C130" s="376" t="s">
        <v>291</v>
      </c>
      <c r="D130" s="404" t="s">
        <v>3</v>
      </c>
      <c r="E130" s="390"/>
      <c r="F130" s="81">
        <v>22144.3</v>
      </c>
      <c r="G130" s="81">
        <v>22034.959999999999</v>
      </c>
      <c r="H130" s="81">
        <v>109.34</v>
      </c>
      <c r="I130" s="100"/>
      <c r="J130" s="81">
        <v>0</v>
      </c>
      <c r="K130" s="81">
        <v>0</v>
      </c>
      <c r="L130" s="81">
        <v>0</v>
      </c>
      <c r="M130" s="100"/>
      <c r="N130" s="81">
        <v>0</v>
      </c>
      <c r="O130" s="81">
        <v>0</v>
      </c>
      <c r="P130" s="81">
        <v>0</v>
      </c>
      <c r="R130" s="219">
        <f t="shared" si="4"/>
        <v>22144.3</v>
      </c>
      <c r="S130" s="219">
        <f t="shared" si="5"/>
        <v>22034.959999999999</v>
      </c>
      <c r="T130" s="219">
        <f t="shared" si="6"/>
        <v>109.34</v>
      </c>
    </row>
    <row r="131" spans="1:23" x14ac:dyDescent="0.2">
      <c r="A131" s="376">
        <v>18500</v>
      </c>
      <c r="B131" s="376" t="s">
        <v>259</v>
      </c>
      <c r="C131" s="376" t="s">
        <v>127</v>
      </c>
      <c r="D131" s="404" t="s">
        <v>4</v>
      </c>
      <c r="E131" s="390"/>
      <c r="F131" s="81">
        <v>3753</v>
      </c>
      <c r="G131" s="81">
        <v>3753</v>
      </c>
      <c r="H131" s="81">
        <v>0</v>
      </c>
      <c r="I131" s="100"/>
      <c r="J131" s="81">
        <v>0</v>
      </c>
      <c r="K131" s="81">
        <v>0</v>
      </c>
      <c r="L131" s="81">
        <v>0</v>
      </c>
      <c r="M131" s="100"/>
      <c r="N131" s="81">
        <v>0</v>
      </c>
      <c r="O131" s="81">
        <v>0</v>
      </c>
      <c r="P131" s="81">
        <v>0</v>
      </c>
      <c r="R131" s="219">
        <f t="shared" si="4"/>
        <v>3753</v>
      </c>
      <c r="S131" s="219">
        <f t="shared" si="5"/>
        <v>3753</v>
      </c>
      <c r="T131" s="219">
        <f t="shared" si="6"/>
        <v>0</v>
      </c>
    </row>
    <row r="132" spans="1:23" x14ac:dyDescent="0.2">
      <c r="A132" s="376">
        <v>18710</v>
      </c>
      <c r="B132" s="376" t="s">
        <v>260</v>
      </c>
      <c r="C132" s="376" t="s">
        <v>704</v>
      </c>
      <c r="D132" s="404" t="s">
        <v>2</v>
      </c>
      <c r="E132" s="390"/>
      <c r="F132" s="81">
        <v>0</v>
      </c>
      <c r="G132" s="81">
        <v>0</v>
      </c>
      <c r="H132" s="81">
        <v>0</v>
      </c>
      <c r="I132" s="100"/>
      <c r="J132" s="81">
        <v>2315</v>
      </c>
      <c r="K132" s="81">
        <v>1270</v>
      </c>
      <c r="L132" s="81">
        <v>1045</v>
      </c>
      <c r="M132" s="100"/>
      <c r="N132" s="81">
        <v>0</v>
      </c>
      <c r="O132" s="81">
        <v>0</v>
      </c>
      <c r="P132" s="81">
        <v>0</v>
      </c>
      <c r="R132" s="219">
        <f t="shared" si="4"/>
        <v>2315</v>
      </c>
      <c r="S132" s="219">
        <f t="shared" si="5"/>
        <v>1270</v>
      </c>
      <c r="T132" s="219">
        <f t="shared" si="6"/>
        <v>1045</v>
      </c>
    </row>
    <row r="133" spans="1:23" s="97" customFormat="1" ht="11.25" x14ac:dyDescent="0.2">
      <c r="E133" s="83"/>
      <c r="F133" s="589"/>
      <c r="G133" s="102"/>
      <c r="H133" s="102"/>
      <c r="I133" s="83"/>
      <c r="J133" s="102"/>
      <c r="K133" s="102"/>
      <c r="L133" s="102"/>
      <c r="M133" s="83"/>
      <c r="N133" s="102"/>
      <c r="O133" s="102"/>
      <c r="P133" s="102"/>
      <c r="R133" s="106"/>
      <c r="S133" s="106"/>
      <c r="T133" s="106"/>
    </row>
    <row r="134" spans="1:23" s="22" customFormat="1" ht="11.25" x14ac:dyDescent="0.2">
      <c r="A134" s="614" t="s">
        <v>0</v>
      </c>
      <c r="B134" s="614"/>
      <c r="C134" s="614"/>
      <c r="D134" s="82"/>
      <c r="E134" s="83"/>
      <c r="F134" s="84"/>
      <c r="G134" s="84"/>
      <c r="H134" s="84"/>
      <c r="I134" s="103"/>
      <c r="J134" s="590">
        <f>J142-J135</f>
        <v>37035.770000000019</v>
      </c>
      <c r="K134" s="237">
        <f>J135/J142</f>
        <v>0.75577413834113316</v>
      </c>
      <c r="L134" s="84"/>
      <c r="M134" s="103"/>
      <c r="N134" s="590">
        <f>N142-N135</f>
        <v>9896.6199999999953</v>
      </c>
      <c r="O134" s="237"/>
      <c r="P134" s="84"/>
      <c r="R134" s="118"/>
      <c r="S134" s="118"/>
      <c r="T134" s="118"/>
    </row>
    <row r="135" spans="1:23" s="22" customFormat="1" ht="15" customHeight="1" x14ac:dyDescent="0.2">
      <c r="A135" s="615" t="s">
        <v>17</v>
      </c>
      <c r="B135" s="616"/>
      <c r="C135" s="617"/>
      <c r="D135" s="82"/>
      <c r="E135" s="83"/>
      <c r="F135" s="85">
        <f>SUM(F5:F132)</f>
        <v>564627.37000000011</v>
      </c>
      <c r="G135" s="85">
        <f>SUM(G5:G132)</f>
        <v>548415</v>
      </c>
      <c r="H135" s="85">
        <f>SUM(H5:H132)</f>
        <v>16212.369999999997</v>
      </c>
      <c r="I135" s="104"/>
      <c r="J135" s="85">
        <f>SUM(J5:J132)</f>
        <v>114609.80000000002</v>
      </c>
      <c r="K135" s="85">
        <f>SUM(K5:K132)</f>
        <v>109169.64000000003</v>
      </c>
      <c r="L135" s="85">
        <f>SUM(L5:L132)</f>
        <v>5440.1599999999989</v>
      </c>
      <c r="M135" s="104"/>
      <c r="N135" s="85">
        <f>SUM(N5:N132)</f>
        <v>18464.84</v>
      </c>
      <c r="O135" s="85">
        <f>SUM(O5:O132)</f>
        <v>13466.84</v>
      </c>
      <c r="P135" s="85">
        <f>SUM(P5:P132)</f>
        <v>4998</v>
      </c>
      <c r="R135" s="119">
        <f>SUM(R5:R132)</f>
        <v>697702.01</v>
      </c>
      <c r="S135" s="119">
        <f>SUM(S5:S132)</f>
        <v>671051.48</v>
      </c>
      <c r="T135" s="119">
        <f>SUM(T5:T132)</f>
        <v>26650.529999999995</v>
      </c>
      <c r="U135" s="412"/>
      <c r="V135" s="437"/>
      <c r="W135" s="437"/>
    </row>
    <row r="136" spans="1:23" s="22" customFormat="1" ht="11.25" x14ac:dyDescent="0.2">
      <c r="B136" s="22" t="s">
        <v>292</v>
      </c>
      <c r="D136" s="82"/>
      <c r="E136" s="83"/>
      <c r="F136" s="84"/>
      <c r="G136" s="84"/>
      <c r="H136" s="246"/>
      <c r="I136" s="103"/>
      <c r="J136" s="84"/>
      <c r="K136" s="84"/>
      <c r="L136" s="84"/>
      <c r="M136" s="103"/>
      <c r="N136" s="84"/>
      <c r="O136" s="84"/>
      <c r="P136" s="84"/>
      <c r="R136" s="236"/>
      <c r="S136" s="236"/>
      <c r="T136" s="236"/>
    </row>
    <row r="137" spans="1:23" s="22" customFormat="1" ht="15" customHeight="1" x14ac:dyDescent="0.2">
      <c r="A137" s="613" t="s">
        <v>18</v>
      </c>
      <c r="B137" s="613"/>
      <c r="C137" s="613"/>
      <c r="D137" s="89"/>
      <c r="E137" s="89"/>
      <c r="F137" s="89">
        <f>SUMIF($D$5:$D$132,"S",F$5:F$132)</f>
        <v>293923.73</v>
      </c>
      <c r="G137" s="89">
        <f>SUMIF($D$5:$D$132,"S",G$5:G$132)</f>
        <v>288478.01</v>
      </c>
      <c r="H137" s="89">
        <f>SUMIF($D$5:$D$132,"S",H$5:H$132)</f>
        <v>5445.72</v>
      </c>
      <c r="I137" s="103"/>
      <c r="J137" s="89">
        <f>SUMIF($D$5:$D$132,"S",J$5:J$132)</f>
        <v>7127</v>
      </c>
      <c r="K137" s="89">
        <f>SUMIF($D$5:$D$132,"S",K$5:K$132)</f>
        <v>6708</v>
      </c>
      <c r="L137" s="89">
        <f>SUMIF($D$5:$D$132,"S",L$5:L$132)</f>
        <v>419</v>
      </c>
      <c r="M137" s="103"/>
      <c r="N137" s="89">
        <f>SUMIF($D$5:$D$132,"S",N$5:N$132)</f>
        <v>6970.2099999999991</v>
      </c>
      <c r="O137" s="89">
        <f>SUMIF($D$5:$D$132,"S",O$5:O$132)</f>
        <v>5902.71</v>
      </c>
      <c r="P137" s="89">
        <f>SUMIF($D$5:$D$132,"S",P$5:P$132)</f>
        <v>1067.5</v>
      </c>
      <c r="R137" s="89">
        <f>SUMIF($D$5:$D$132,"S",R$5:R$132)</f>
        <v>308020.93999999994</v>
      </c>
      <c r="S137" s="89">
        <f>SUMIF($D$5:$D$132,"S",S$5:S$132)</f>
        <v>301088.71999999997</v>
      </c>
      <c r="T137" s="89">
        <f>SUMIF($D$5:$D$132,"S",T$5:T$132)</f>
        <v>6932.22</v>
      </c>
      <c r="U137" s="412"/>
    </row>
    <row r="138" spans="1:23" s="22" customFormat="1" ht="15" customHeight="1" x14ac:dyDescent="0.2">
      <c r="A138" s="613" t="s">
        <v>19</v>
      </c>
      <c r="B138" s="613"/>
      <c r="C138" s="613"/>
      <c r="D138" s="87"/>
      <c r="E138" s="88"/>
      <c r="F138" s="89">
        <f>SUMIF($D$5:$D$132,"E",F$5:F$132)</f>
        <v>125463.14999999998</v>
      </c>
      <c r="G138" s="89">
        <f>SUMIF($D$5:$D$132,"E",G$5:G$132)</f>
        <v>124360.1</v>
      </c>
      <c r="H138" s="89">
        <f>SUMIF($D$5:$D$132,"E",H$5:H$132)</f>
        <v>1103.05</v>
      </c>
      <c r="I138" s="103"/>
      <c r="J138" s="89">
        <f>SUMIF($D$5:$D$132,"E",J$5:J$132)</f>
        <v>25929.84</v>
      </c>
      <c r="K138" s="89">
        <f>SUMIF($D$5:$D$132,"E",K$5:K$132)</f>
        <v>25902.449999999993</v>
      </c>
      <c r="L138" s="89">
        <f>SUMIF($D$5:$D$132,"E",L$5:L$132)</f>
        <v>27.39</v>
      </c>
      <c r="M138" s="103"/>
      <c r="N138" s="89">
        <f>SUMIF($D$5:$D$132,"E",N$5:N$132)</f>
        <v>8968.8799999999992</v>
      </c>
      <c r="O138" s="89">
        <f>SUMIF($D$5:$D$132,"E",O$5:O$132)</f>
        <v>5058.88</v>
      </c>
      <c r="P138" s="89">
        <f>SUMIF($D$5:$D$132,"E",P$5:P$132)</f>
        <v>3910</v>
      </c>
      <c r="R138" s="89">
        <f>SUMIF($D$5:$D$132,"E",R$5:R$132)</f>
        <v>160361.87</v>
      </c>
      <c r="S138" s="89">
        <f>SUMIF($D$5:$D$132,"E",S$5:S$132)</f>
        <v>155321.43</v>
      </c>
      <c r="T138" s="89">
        <f>SUMIF($D$5:$D$132,"E",T$5:T$132)</f>
        <v>5040.4400000000005</v>
      </c>
      <c r="U138" s="412"/>
    </row>
    <row r="139" spans="1:23" s="22" customFormat="1" ht="15" customHeight="1" x14ac:dyDescent="0.2">
      <c r="A139" s="613" t="s">
        <v>20</v>
      </c>
      <c r="B139" s="613"/>
      <c r="C139" s="613"/>
      <c r="D139" s="87"/>
      <c r="E139" s="88"/>
      <c r="F139" s="89">
        <f>SUMIF($D$5:$D$132,"R",F$5:F$132)</f>
        <v>90360.170000000013</v>
      </c>
      <c r="G139" s="89">
        <f>SUMIF($D$5:$D$132,"R",G$5:G$132)</f>
        <v>88330.71</v>
      </c>
      <c r="H139" s="89">
        <f>SUMIF($D$5:$D$132,"R",H$5:H$132)</f>
        <v>2029.46</v>
      </c>
      <c r="I139" s="103"/>
      <c r="J139" s="89">
        <f>SUMIF($D$5:$D$132,"R",J$5:J$132)</f>
        <v>33079.129999999997</v>
      </c>
      <c r="K139" s="89">
        <f>SUMIF($D$5:$D$132,"R",K$5:K$132)</f>
        <v>32422.190000000002</v>
      </c>
      <c r="L139" s="89">
        <f>SUMIF($D$5:$D$132,"R",L$5:L$132)</f>
        <v>656.94</v>
      </c>
      <c r="M139" s="103"/>
      <c r="N139" s="89">
        <f>SUMIF($D$5:$D$132,"R",N$5:N$132)</f>
        <v>2229.1600000000003</v>
      </c>
      <c r="O139" s="89">
        <f>SUMIF($D$5:$D$132,"R",O$5:O$132)</f>
        <v>2229.1600000000003</v>
      </c>
      <c r="P139" s="89">
        <f>SUMIF($D$5:$D$132,"R",P$5:P$132)</f>
        <v>0</v>
      </c>
      <c r="R139" s="89">
        <f>SUMIF($D$5:$D$132,"R",R$5:R$132)</f>
        <v>125668.46000000004</v>
      </c>
      <c r="S139" s="89">
        <f>SUMIF($D$5:$D$132,"R",S$5:S$132)</f>
        <v>122982.06000000001</v>
      </c>
      <c r="T139" s="89">
        <f>SUMIF($D$5:$D$132,"R",T$5:T$132)</f>
        <v>2686.4</v>
      </c>
      <c r="U139" s="412"/>
    </row>
    <row r="140" spans="1:23" s="22" customFormat="1" ht="15" customHeight="1" x14ac:dyDescent="0.2">
      <c r="A140" s="613" t="s">
        <v>21</v>
      </c>
      <c r="B140" s="613"/>
      <c r="C140" s="613"/>
      <c r="D140" s="87"/>
      <c r="E140" s="88"/>
      <c r="F140" s="89">
        <f>SUMIF($D$5:$D$132,"N",F$5:F$132)</f>
        <v>54880.319999999992</v>
      </c>
      <c r="G140" s="89">
        <f>SUMIF($D$5:$D$132,"N",G$5:G$132)</f>
        <v>47246.179999999993</v>
      </c>
      <c r="H140" s="89">
        <f>SUMIF($D$5:$D$132,"N",H$5:H$132)</f>
        <v>7634.14</v>
      </c>
      <c r="I140" s="103"/>
      <c r="J140" s="89">
        <f>SUMIF($D$5:$D$132,"N",J$5:J$132)</f>
        <v>48473.829999999994</v>
      </c>
      <c r="K140" s="89">
        <f>SUMIF($D$5:$D$132,"N",K$5:K$132)</f>
        <v>44137</v>
      </c>
      <c r="L140" s="89">
        <f>SUMIF($D$5:$D$132,"N",L$5:L$132)</f>
        <v>4336.829999999999</v>
      </c>
      <c r="M140" s="103"/>
      <c r="N140" s="89">
        <f>SUMIF($D$5:$D$132,"N",N$5:N$132)</f>
        <v>296.59000000000003</v>
      </c>
      <c r="O140" s="89">
        <f>SUMIF($D$5:$D$132,"N",O$5:O$132)</f>
        <v>276.09000000000003</v>
      </c>
      <c r="P140" s="89">
        <f>SUMIF($D$5:$D$132,"N",P$5:P$132)</f>
        <v>20.5</v>
      </c>
      <c r="R140" s="89">
        <f>SUMIF($D$5:$D$132,"N",R$5:R$132)</f>
        <v>103650.73999999999</v>
      </c>
      <c r="S140" s="89">
        <f>SUMIF($D$5:$D$132,"N",S$5:S$132)</f>
        <v>91659.26999999999</v>
      </c>
      <c r="T140" s="89">
        <f>SUMIF($D$5:$D$132,"N",T$5:T$132)</f>
        <v>11991.469999999998</v>
      </c>
      <c r="U140" s="412"/>
    </row>
    <row r="141" spans="1:23" s="22" customFormat="1" ht="15" customHeight="1" x14ac:dyDescent="0.2">
      <c r="A141" s="439"/>
      <c r="B141" s="439"/>
      <c r="C141" s="439"/>
      <c r="D141" s="87"/>
      <c r="E141" s="88"/>
      <c r="F141" s="338"/>
      <c r="G141" s="338"/>
      <c r="H141" s="338"/>
      <c r="I141" s="103"/>
      <c r="J141" s="338"/>
      <c r="K141" s="338"/>
      <c r="L141" s="338"/>
      <c r="M141" s="103"/>
      <c r="N141" s="338"/>
      <c r="O141" s="338"/>
      <c r="P141" s="338"/>
      <c r="R141" s="338"/>
      <c r="S141" s="338"/>
      <c r="T141" s="338"/>
      <c r="U141" s="412"/>
    </row>
    <row r="142" spans="1:23" s="22" customFormat="1" ht="15" customHeight="1" x14ac:dyDescent="0.2">
      <c r="A142" s="630" t="s">
        <v>17</v>
      </c>
      <c r="B142" s="631"/>
      <c r="C142" s="632"/>
      <c r="D142" s="448"/>
      <c r="E142" s="449"/>
      <c r="F142" s="450">
        <v>565635.31000000006</v>
      </c>
      <c r="G142" s="450">
        <v>555492.73</v>
      </c>
      <c r="H142" s="450">
        <v>10142.58</v>
      </c>
      <c r="I142" s="451"/>
      <c r="J142" s="450">
        <v>151645.57000000004</v>
      </c>
      <c r="K142" s="450">
        <v>146626.46000000005</v>
      </c>
      <c r="L142" s="450">
        <v>5019.1099999999997</v>
      </c>
      <c r="M142" s="451"/>
      <c r="N142" s="450">
        <v>28361.459999999995</v>
      </c>
      <c r="O142" s="450">
        <v>28286.029999999995</v>
      </c>
      <c r="P142" s="450">
        <v>75.430000000000007</v>
      </c>
      <c r="Q142" s="452"/>
      <c r="R142" s="221">
        <v>745642.34000000008</v>
      </c>
      <c r="S142" s="221">
        <v>730405.22</v>
      </c>
      <c r="T142" s="221">
        <v>15237.119999999999</v>
      </c>
      <c r="U142" s="412"/>
    </row>
    <row r="143" spans="1:23" s="22" customFormat="1" ht="15" customHeight="1" x14ac:dyDescent="0.2">
      <c r="A143" s="452"/>
      <c r="B143" s="452" t="s">
        <v>110</v>
      </c>
      <c r="C143" s="452"/>
      <c r="D143" s="448"/>
      <c r="E143" s="449"/>
      <c r="F143" s="453"/>
      <c r="G143" s="453"/>
      <c r="H143" s="454"/>
      <c r="I143" s="452"/>
      <c r="J143" s="453"/>
      <c r="K143" s="453"/>
      <c r="L143" s="453"/>
      <c r="M143" s="452"/>
      <c r="N143" s="453"/>
      <c r="O143" s="453"/>
      <c r="P143" s="453"/>
      <c r="Q143" s="452"/>
      <c r="R143" s="455"/>
      <c r="S143" s="455"/>
      <c r="T143" s="455"/>
      <c r="U143" s="588"/>
    </row>
    <row r="144" spans="1:23" s="22" customFormat="1" ht="15" customHeight="1" x14ac:dyDescent="0.2">
      <c r="A144" s="633" t="s">
        <v>18</v>
      </c>
      <c r="B144" s="633"/>
      <c r="C144" s="633"/>
      <c r="D144" s="226"/>
      <c r="E144" s="226"/>
      <c r="F144" s="226">
        <v>312668.95</v>
      </c>
      <c r="G144" s="226">
        <v>306379.7</v>
      </c>
      <c r="H144" s="226">
        <v>6289.25</v>
      </c>
      <c r="I144" s="452"/>
      <c r="J144" s="226">
        <v>16693</v>
      </c>
      <c r="K144" s="226">
        <v>16693</v>
      </c>
      <c r="L144" s="226">
        <v>0</v>
      </c>
      <c r="M144" s="452"/>
      <c r="N144" s="226">
        <v>11509.78</v>
      </c>
      <c r="O144" s="226">
        <v>11437.53</v>
      </c>
      <c r="P144" s="226">
        <v>72.25</v>
      </c>
      <c r="Q144" s="452"/>
      <c r="R144" s="226">
        <v>340871.73000000004</v>
      </c>
      <c r="S144" s="226">
        <v>334510.23000000004</v>
      </c>
      <c r="T144" s="226">
        <v>6361.5</v>
      </c>
      <c r="U144" s="412"/>
    </row>
    <row r="145" spans="1:21" s="22" customFormat="1" ht="15" customHeight="1" x14ac:dyDescent="0.2">
      <c r="A145" s="633" t="s">
        <v>19</v>
      </c>
      <c r="B145" s="633"/>
      <c r="C145" s="633"/>
      <c r="D145" s="456"/>
      <c r="E145" s="457"/>
      <c r="F145" s="226">
        <v>123041.11</v>
      </c>
      <c r="G145" s="226">
        <v>121941.16</v>
      </c>
      <c r="H145" s="226">
        <v>1099.9499999999998</v>
      </c>
      <c r="I145" s="452"/>
      <c r="J145" s="226">
        <v>36251.42</v>
      </c>
      <c r="K145" s="226">
        <v>36251.42</v>
      </c>
      <c r="L145" s="226">
        <v>0</v>
      </c>
      <c r="M145" s="452"/>
      <c r="N145" s="226">
        <v>11266.39</v>
      </c>
      <c r="O145" s="226">
        <v>11266.39</v>
      </c>
      <c r="P145" s="226">
        <v>0</v>
      </c>
      <c r="Q145" s="452"/>
      <c r="R145" s="226">
        <v>170558.91999999998</v>
      </c>
      <c r="S145" s="226">
        <v>169458.96999999997</v>
      </c>
      <c r="T145" s="226">
        <v>1099.9499999999998</v>
      </c>
      <c r="U145" s="412"/>
    </row>
    <row r="146" spans="1:21" s="22" customFormat="1" ht="15" customHeight="1" x14ac:dyDescent="0.2">
      <c r="A146" s="633" t="s">
        <v>20</v>
      </c>
      <c r="B146" s="633"/>
      <c r="C146" s="633"/>
      <c r="D146" s="456"/>
      <c r="E146" s="457"/>
      <c r="F146" s="226">
        <v>81888.680000000008</v>
      </c>
      <c r="G146" s="226">
        <v>80068.14</v>
      </c>
      <c r="H146" s="226">
        <v>1820.54</v>
      </c>
      <c r="I146" s="452"/>
      <c r="J146" s="226">
        <v>43097.17</v>
      </c>
      <c r="K146" s="226">
        <v>43092.75</v>
      </c>
      <c r="L146" s="226">
        <v>4.42</v>
      </c>
      <c r="M146" s="452"/>
      <c r="N146" s="226">
        <v>4081.7</v>
      </c>
      <c r="O146" s="226">
        <v>4081.7</v>
      </c>
      <c r="P146" s="226">
        <v>0</v>
      </c>
      <c r="Q146" s="452"/>
      <c r="R146" s="226">
        <v>129067.54999999999</v>
      </c>
      <c r="S146" s="226">
        <v>127242.59</v>
      </c>
      <c r="T146" s="226">
        <v>1824.96</v>
      </c>
      <c r="U146" s="412"/>
    </row>
    <row r="147" spans="1:21" s="22" customFormat="1" ht="15" customHeight="1" x14ac:dyDescent="0.2">
      <c r="A147" s="633" t="s">
        <v>21</v>
      </c>
      <c r="B147" s="633"/>
      <c r="C147" s="633"/>
      <c r="D147" s="456"/>
      <c r="E147" s="457"/>
      <c r="F147" s="226">
        <v>48036.569999999992</v>
      </c>
      <c r="G147" s="226">
        <v>47103.729999999996</v>
      </c>
      <c r="H147" s="226">
        <v>932.83999999999992</v>
      </c>
      <c r="I147" s="452"/>
      <c r="J147" s="226">
        <v>55603.979999999996</v>
      </c>
      <c r="K147" s="226">
        <v>50589.289999999994</v>
      </c>
      <c r="L147" s="226">
        <v>5014.6899999999996</v>
      </c>
      <c r="M147" s="452"/>
      <c r="N147" s="226">
        <v>1503.5900000000001</v>
      </c>
      <c r="O147" s="226">
        <v>1500.41</v>
      </c>
      <c r="P147" s="226">
        <v>3.18</v>
      </c>
      <c r="Q147" s="452"/>
      <c r="R147" s="226">
        <v>105144.14000000001</v>
      </c>
      <c r="S147" s="226">
        <v>99193.430000000008</v>
      </c>
      <c r="T147" s="226">
        <v>5950.71</v>
      </c>
      <c r="U147" s="412"/>
    </row>
    <row r="148" spans="1:21" s="22" customFormat="1" ht="15" customHeight="1" x14ac:dyDescent="0.2">
      <c r="A148" s="439"/>
      <c r="B148" s="439"/>
      <c r="C148" s="439"/>
      <c r="D148" s="87"/>
      <c r="E148" s="88"/>
      <c r="F148" s="338"/>
      <c r="G148" s="338"/>
      <c r="H148" s="338"/>
      <c r="I148" s="103"/>
      <c r="J148" s="338"/>
      <c r="K148" s="338"/>
      <c r="L148" s="338"/>
      <c r="M148" s="103"/>
      <c r="N148" s="338"/>
      <c r="O148" s="338"/>
      <c r="P148" s="338"/>
      <c r="R148" s="338"/>
      <c r="S148" s="338"/>
      <c r="T148" s="338"/>
      <c r="U148" s="412"/>
    </row>
    <row r="150" spans="1:21" s="22" customFormat="1" ht="15" customHeight="1" x14ac:dyDescent="0.2">
      <c r="A150" s="597" t="s">
        <v>17</v>
      </c>
      <c r="B150" s="598"/>
      <c r="C150" s="599"/>
      <c r="D150" s="340"/>
      <c r="E150" s="341"/>
      <c r="F150" s="342">
        <v>535021.84999999986</v>
      </c>
      <c r="G150" s="342">
        <v>513718.90980499989</v>
      </c>
      <c r="H150" s="342">
        <v>21302.940195000003</v>
      </c>
      <c r="I150" s="343"/>
      <c r="J150" s="342">
        <v>183191.00199999998</v>
      </c>
      <c r="K150" s="342">
        <v>177158.80199999997</v>
      </c>
      <c r="L150" s="342">
        <v>6032.17</v>
      </c>
      <c r="M150" s="343"/>
      <c r="N150" s="342">
        <v>35197.793999999994</v>
      </c>
      <c r="O150" s="342">
        <v>35100.563999999998</v>
      </c>
      <c r="P150" s="342">
        <v>97.22999999999999</v>
      </c>
      <c r="R150" s="119">
        <f>F150+J150+N150</f>
        <v>753410.64599999983</v>
      </c>
      <c r="S150" s="119">
        <f t="shared" ref="S150:T150" si="7">G150+K150+O150</f>
        <v>725978.27580499987</v>
      </c>
      <c r="T150" s="119">
        <f t="shared" si="7"/>
        <v>27432.340195000001</v>
      </c>
      <c r="U150" s="412"/>
    </row>
    <row r="151" spans="1:21" s="22" customFormat="1" ht="11.25" x14ac:dyDescent="0.2">
      <c r="A151" s="344"/>
      <c r="B151" s="344" t="s">
        <v>87</v>
      </c>
      <c r="C151" s="344"/>
      <c r="D151" s="340"/>
      <c r="E151" s="341"/>
      <c r="F151" s="345"/>
      <c r="G151" s="345"/>
      <c r="H151" s="346"/>
      <c r="I151" s="344"/>
      <c r="J151" s="345"/>
      <c r="K151" s="345"/>
      <c r="L151" s="345"/>
      <c r="M151" s="344"/>
      <c r="N151" s="345"/>
      <c r="O151" s="345"/>
      <c r="P151" s="345"/>
      <c r="R151" s="236"/>
      <c r="S151" s="236"/>
      <c r="T151" s="236"/>
    </row>
    <row r="152" spans="1:21" s="22" customFormat="1" ht="15" customHeight="1" x14ac:dyDescent="0.2">
      <c r="A152" s="600" t="s">
        <v>18</v>
      </c>
      <c r="B152" s="600"/>
      <c r="C152" s="600"/>
      <c r="D152" s="347"/>
      <c r="E152" s="347"/>
      <c r="F152" s="347">
        <v>298638.07999999996</v>
      </c>
      <c r="G152" s="347">
        <v>283266.56339999998</v>
      </c>
      <c r="H152" s="347">
        <v>15371.516599999999</v>
      </c>
      <c r="I152" s="344"/>
      <c r="J152" s="347">
        <v>19032.879999999997</v>
      </c>
      <c r="K152" s="347">
        <v>19032.879999999997</v>
      </c>
      <c r="L152" s="347">
        <v>0</v>
      </c>
      <c r="M152" s="344"/>
      <c r="N152" s="347">
        <v>8468.7900000000009</v>
      </c>
      <c r="O152" s="347">
        <v>8378.7900000000009</v>
      </c>
      <c r="P152" s="347">
        <v>90</v>
      </c>
      <c r="R152" s="89">
        <f t="shared" ref="R152:R155" si="8">F152+J152+N152</f>
        <v>326139.74999999994</v>
      </c>
      <c r="S152" s="89">
        <f t="shared" ref="S152:S155" si="9">G152+K152+O152</f>
        <v>310678.23339999997</v>
      </c>
      <c r="T152" s="89">
        <f t="shared" ref="T152:T155" si="10">H152+L152+P152</f>
        <v>15461.516599999999</v>
      </c>
      <c r="U152" s="412"/>
    </row>
    <row r="153" spans="1:21" s="22" customFormat="1" ht="15" customHeight="1" x14ac:dyDescent="0.2">
      <c r="A153" s="600" t="s">
        <v>19</v>
      </c>
      <c r="B153" s="600"/>
      <c r="C153" s="600"/>
      <c r="D153" s="348"/>
      <c r="E153" s="349"/>
      <c r="F153" s="347">
        <v>122550.7</v>
      </c>
      <c r="G153" s="347">
        <v>121061.5904</v>
      </c>
      <c r="H153" s="347">
        <v>1489.1096000000002</v>
      </c>
      <c r="I153" s="344"/>
      <c r="J153" s="347">
        <v>46657.75</v>
      </c>
      <c r="K153" s="347">
        <v>44365.72</v>
      </c>
      <c r="L153" s="347">
        <v>2292</v>
      </c>
      <c r="M153" s="344"/>
      <c r="N153" s="347">
        <v>17901.080000000002</v>
      </c>
      <c r="O153" s="347">
        <v>17901.080000000002</v>
      </c>
      <c r="P153" s="347">
        <v>0</v>
      </c>
      <c r="R153" s="89">
        <f t="shared" si="8"/>
        <v>187109.53000000003</v>
      </c>
      <c r="S153" s="89">
        <f t="shared" si="9"/>
        <v>183328.39040000003</v>
      </c>
      <c r="T153" s="89">
        <f t="shared" si="10"/>
        <v>3781.1096000000002</v>
      </c>
      <c r="U153" s="412"/>
    </row>
    <row r="154" spans="1:21" s="22" customFormat="1" ht="15" customHeight="1" x14ac:dyDescent="0.2">
      <c r="A154" s="600" t="s">
        <v>20</v>
      </c>
      <c r="B154" s="600"/>
      <c r="C154" s="600"/>
      <c r="D154" s="348"/>
      <c r="E154" s="349"/>
      <c r="F154" s="347">
        <v>72195.210000000006</v>
      </c>
      <c r="G154" s="347">
        <v>69206.34041200002</v>
      </c>
      <c r="H154" s="347">
        <v>2988.8695879999996</v>
      </c>
      <c r="I154" s="344"/>
      <c r="J154" s="347">
        <v>47069.209999999992</v>
      </c>
      <c r="K154" s="347">
        <v>45866.899999999994</v>
      </c>
      <c r="L154" s="347">
        <v>1202.31</v>
      </c>
      <c r="M154" s="344"/>
      <c r="N154" s="347">
        <v>3038.14</v>
      </c>
      <c r="O154" s="347">
        <v>3038.14</v>
      </c>
      <c r="P154" s="347">
        <v>0</v>
      </c>
      <c r="R154" s="89">
        <f t="shared" si="8"/>
        <v>122302.56</v>
      </c>
      <c r="S154" s="89">
        <f t="shared" si="9"/>
        <v>118111.38041200001</v>
      </c>
      <c r="T154" s="89">
        <f t="shared" si="10"/>
        <v>4191.1795879999991</v>
      </c>
      <c r="U154" s="412"/>
    </row>
    <row r="155" spans="1:21" s="22" customFormat="1" ht="15" customHeight="1" x14ac:dyDescent="0.2">
      <c r="A155" s="600" t="s">
        <v>21</v>
      </c>
      <c r="B155" s="600"/>
      <c r="C155" s="600"/>
      <c r="D155" s="348"/>
      <c r="E155" s="349"/>
      <c r="F155" s="347">
        <v>41637.860000000008</v>
      </c>
      <c r="G155" s="347">
        <v>40184.415593000005</v>
      </c>
      <c r="H155" s="347">
        <v>1453.4444069999997</v>
      </c>
      <c r="I155" s="344"/>
      <c r="J155" s="347">
        <v>70431.161999999997</v>
      </c>
      <c r="K155" s="347">
        <v>67893.301999999996</v>
      </c>
      <c r="L155" s="347">
        <v>2537.86</v>
      </c>
      <c r="M155" s="344"/>
      <c r="N155" s="347">
        <v>5789.7840000000006</v>
      </c>
      <c r="O155" s="347">
        <v>5782.5540000000001</v>
      </c>
      <c r="P155" s="347">
        <v>7.23</v>
      </c>
      <c r="R155" s="89">
        <f t="shared" si="8"/>
        <v>117858.806</v>
      </c>
      <c r="S155" s="89">
        <f t="shared" si="9"/>
        <v>113860.27159300001</v>
      </c>
      <c r="T155" s="89">
        <f t="shared" si="10"/>
        <v>3998.5344069999996</v>
      </c>
      <c r="U155" s="412"/>
    </row>
    <row r="157" spans="1:21" x14ac:dyDescent="0.2">
      <c r="A157" s="618" t="s">
        <v>17</v>
      </c>
      <c r="B157" s="619"/>
      <c r="C157" s="620"/>
      <c r="F157" s="229">
        <v>476439.74999999994</v>
      </c>
      <c r="G157" s="229">
        <v>455905.73829999991</v>
      </c>
      <c r="H157" s="229">
        <v>20534.441699999999</v>
      </c>
      <c r="I157" s="248"/>
      <c r="J157" s="229">
        <v>161046.51</v>
      </c>
      <c r="K157" s="229">
        <v>156816.43000000002</v>
      </c>
      <c r="L157" s="229">
        <v>4230.08</v>
      </c>
      <c r="M157" s="248"/>
      <c r="N157" s="229">
        <v>23743.64</v>
      </c>
      <c r="O157" s="229">
        <v>23692.6</v>
      </c>
      <c r="P157" s="229">
        <v>51.04</v>
      </c>
      <c r="R157" s="119">
        <f>F157+J157+N157</f>
        <v>661229.9</v>
      </c>
      <c r="S157" s="119">
        <f t="shared" ref="S157" si="11">G157+K157+O157</f>
        <v>636414.76829999988</v>
      </c>
      <c r="T157" s="119">
        <f t="shared" ref="T157" si="12">H157+L157+P157</f>
        <v>24815.561699999998</v>
      </c>
      <c r="U157" s="412"/>
    </row>
    <row r="158" spans="1:21" x14ac:dyDescent="0.2">
      <c r="A158" s="232"/>
      <c r="B158" s="232" t="s">
        <v>86</v>
      </c>
      <c r="C158" s="232"/>
      <c r="F158" s="78"/>
      <c r="G158" s="78"/>
      <c r="H158" s="78"/>
      <c r="I158" s="78"/>
      <c r="J158" s="78"/>
      <c r="K158" s="78"/>
      <c r="L158" s="78"/>
      <c r="M158" s="78"/>
      <c r="R158" s="236"/>
      <c r="S158" s="236"/>
      <c r="T158" s="236"/>
    </row>
    <row r="159" spans="1:21" x14ac:dyDescent="0.2">
      <c r="A159" s="621" t="s">
        <v>18</v>
      </c>
      <c r="B159" s="621"/>
      <c r="C159" s="621"/>
      <c r="F159" s="234">
        <v>276210.03999999998</v>
      </c>
      <c r="G159" s="234">
        <v>262014.85549999995</v>
      </c>
      <c r="H159" s="234">
        <v>14195.404500000002</v>
      </c>
      <c r="I159" s="232"/>
      <c r="J159" s="234">
        <v>14509.7</v>
      </c>
      <c r="K159" s="234">
        <v>14509.7</v>
      </c>
      <c r="L159" s="234">
        <v>0</v>
      </c>
      <c r="M159" s="232"/>
      <c r="N159" s="234">
        <v>11657.119999999999</v>
      </c>
      <c r="O159" s="234">
        <v>11617.119999999999</v>
      </c>
      <c r="P159" s="234">
        <v>40</v>
      </c>
      <c r="R159" s="89">
        <f t="shared" ref="R159:R162" si="13">F159+J159+N159</f>
        <v>302376.86</v>
      </c>
      <c r="S159" s="89">
        <f t="shared" ref="S159:S162" si="14">G159+K159+O159</f>
        <v>288141.67549999995</v>
      </c>
      <c r="T159" s="89">
        <f t="shared" ref="T159:T162" si="15">H159+L159+P159</f>
        <v>14235.404500000002</v>
      </c>
      <c r="U159" s="412"/>
    </row>
    <row r="160" spans="1:21" x14ac:dyDescent="0.2">
      <c r="A160" s="621" t="s">
        <v>19</v>
      </c>
      <c r="B160" s="621"/>
      <c r="C160" s="621"/>
      <c r="F160" s="234">
        <v>104009.75</v>
      </c>
      <c r="G160" s="234">
        <v>102915.16</v>
      </c>
      <c r="H160" s="234">
        <v>1094.6100000000001</v>
      </c>
      <c r="I160" s="232"/>
      <c r="J160" s="234">
        <v>41402.400000000001</v>
      </c>
      <c r="K160" s="234">
        <v>41402.400000000001</v>
      </c>
      <c r="L160" s="234">
        <v>0</v>
      </c>
      <c r="M160" s="232"/>
      <c r="N160" s="234">
        <v>8813.7000000000007</v>
      </c>
      <c r="O160" s="234">
        <v>8813.7000000000007</v>
      </c>
      <c r="P160" s="234">
        <v>0</v>
      </c>
      <c r="R160" s="89">
        <f t="shared" si="13"/>
        <v>154225.85</v>
      </c>
      <c r="S160" s="89">
        <f t="shared" si="14"/>
        <v>153131.26</v>
      </c>
      <c r="T160" s="89">
        <f t="shared" si="15"/>
        <v>1094.6100000000001</v>
      </c>
      <c r="U160" s="412"/>
    </row>
    <row r="161" spans="1:21" x14ac:dyDescent="0.2">
      <c r="A161" s="621" t="s">
        <v>20</v>
      </c>
      <c r="B161" s="621"/>
      <c r="C161" s="621"/>
      <c r="F161" s="234">
        <v>63537.630000000005</v>
      </c>
      <c r="G161" s="234">
        <v>61119.892800000001</v>
      </c>
      <c r="H161" s="234">
        <v>2417.7972</v>
      </c>
      <c r="I161" s="232"/>
      <c r="J161" s="234">
        <v>45025.5</v>
      </c>
      <c r="K161" s="234">
        <v>43737.16</v>
      </c>
      <c r="L161" s="234">
        <v>1288.3400000000001</v>
      </c>
      <c r="M161" s="232"/>
      <c r="N161" s="234">
        <v>2762.86</v>
      </c>
      <c r="O161" s="234">
        <v>2762.86</v>
      </c>
      <c r="P161" s="234">
        <v>0</v>
      </c>
      <c r="R161" s="89">
        <f t="shared" si="13"/>
        <v>111325.99</v>
      </c>
      <c r="S161" s="89">
        <f t="shared" si="14"/>
        <v>107619.91280000001</v>
      </c>
      <c r="T161" s="89">
        <f t="shared" si="15"/>
        <v>3706.1372000000001</v>
      </c>
      <c r="U161" s="412"/>
    </row>
    <row r="162" spans="1:21" x14ac:dyDescent="0.2">
      <c r="A162" s="621" t="s">
        <v>21</v>
      </c>
      <c r="B162" s="621"/>
      <c r="C162" s="621"/>
      <c r="F162" s="234">
        <v>32682.329999999998</v>
      </c>
      <c r="G162" s="234">
        <v>29855.83</v>
      </c>
      <c r="H162" s="234">
        <v>2826.63</v>
      </c>
      <c r="I162" s="232"/>
      <c r="J162" s="234">
        <v>60108.91</v>
      </c>
      <c r="K162" s="234">
        <v>57167.17</v>
      </c>
      <c r="L162" s="234">
        <v>2941.74</v>
      </c>
      <c r="M162" s="232"/>
      <c r="N162" s="234">
        <v>509.96</v>
      </c>
      <c r="O162" s="234">
        <v>498.92</v>
      </c>
      <c r="P162" s="234">
        <v>11.04</v>
      </c>
      <c r="R162" s="89">
        <f t="shared" si="13"/>
        <v>93301.200000000012</v>
      </c>
      <c r="S162" s="89">
        <f t="shared" si="14"/>
        <v>87521.919999999998</v>
      </c>
      <c r="T162" s="89">
        <f t="shared" si="15"/>
        <v>5779.41</v>
      </c>
      <c r="U162" s="412"/>
    </row>
    <row r="164" spans="1:21" x14ac:dyDescent="0.2">
      <c r="F164" s="259"/>
      <c r="J164" s="258"/>
    </row>
    <row r="165" spans="1:21" x14ac:dyDescent="0.2">
      <c r="F165" s="259"/>
    </row>
    <row r="166" spans="1:21" x14ac:dyDescent="0.2">
      <c r="F166" s="259"/>
    </row>
  </sheetData>
  <mergeCells count="26">
    <mergeCell ref="A142:C142"/>
    <mergeCell ref="A144:C144"/>
    <mergeCell ref="A145:C145"/>
    <mergeCell ref="A146:C146"/>
    <mergeCell ref="A147:C147"/>
    <mergeCell ref="A1:P1"/>
    <mergeCell ref="F3:H3"/>
    <mergeCell ref="J3:L3"/>
    <mergeCell ref="N3:P3"/>
    <mergeCell ref="R3:T3"/>
    <mergeCell ref="A134:C134"/>
    <mergeCell ref="A162:C162"/>
    <mergeCell ref="A152:C152"/>
    <mergeCell ref="A153:C153"/>
    <mergeCell ref="A154:C154"/>
    <mergeCell ref="A155:C155"/>
    <mergeCell ref="A157:C157"/>
    <mergeCell ref="A159:C159"/>
    <mergeCell ref="A160:C160"/>
    <mergeCell ref="A161:C161"/>
    <mergeCell ref="A150:C150"/>
    <mergeCell ref="A135:C135"/>
    <mergeCell ref="A137:C137"/>
    <mergeCell ref="A138:C138"/>
    <mergeCell ref="A139:C139"/>
    <mergeCell ref="A140:C140"/>
  </mergeCells>
  <hyperlinks>
    <hyperlink ref="D62" location="'2009-10'!A160" display="Bottom" xr:uid="{00000000-0004-0000-0400-000000000000}"/>
  </hyperlinks>
  <printOptions horizontalCentered="1"/>
  <pageMargins left="0.25" right="0.25" top="0.75" bottom="0.75" header="0.3" footer="0.3"/>
  <pageSetup paperSize="9" scale="75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171"/>
  <sheetViews>
    <sheetView zoomScaleNormal="100" zoomScaleSheetLayoutView="100" workbookViewId="0">
      <pane xSplit="4" ySplit="4" topLeftCell="E122" activePane="bottomRight" state="frozen"/>
      <selection activeCell="B36" sqref="B36"/>
      <selection pane="topRight" activeCell="B36" sqref="B36"/>
      <selection pane="bottomLeft" activeCell="B36" sqref="B36"/>
      <selection pane="bottomRight" activeCell="A135" sqref="A135:C135"/>
    </sheetView>
  </sheetViews>
  <sheetFormatPr defaultRowHeight="12.75" x14ac:dyDescent="0.2"/>
  <cols>
    <col min="1" max="1" width="5.28515625" bestFit="1" customWidth="1"/>
    <col min="2" max="2" width="26" bestFit="1" customWidth="1"/>
    <col min="3" max="3" width="13.5703125" bestFit="1" customWidth="1"/>
    <col min="4" max="4" width="3" style="3" bestFit="1" customWidth="1"/>
    <col min="5" max="5" width="0.85546875" style="5" customWidth="1"/>
    <col min="6" max="6" width="10.42578125" style="1" bestFit="1" customWidth="1"/>
    <col min="7" max="7" width="9.5703125" style="1" bestFit="1" customWidth="1"/>
    <col min="8" max="8" width="10" style="1" bestFit="1" customWidth="1"/>
    <col min="9" max="9" width="0.85546875" style="2" customWidth="1"/>
    <col min="10" max="10" width="8.42578125" style="2" bestFit="1" customWidth="1"/>
    <col min="11" max="11" width="8.7109375" style="2" bestFit="1" customWidth="1"/>
    <col min="12" max="12" width="0.85546875" style="2" customWidth="1"/>
    <col min="13" max="14" width="8.42578125" style="1" bestFit="1" customWidth="1"/>
    <col min="15" max="15" width="0.85546875" style="2" customWidth="1"/>
    <col min="16" max="17" width="8.42578125" style="1" customWidth="1"/>
    <col min="18" max="18" width="8.42578125" style="1" bestFit="1" customWidth="1"/>
    <col min="19" max="19" width="0.85546875" style="2" customWidth="1"/>
    <col min="20" max="21" width="8.42578125" bestFit="1" customWidth="1"/>
    <col min="22" max="22" width="0.85546875" style="2" customWidth="1"/>
    <col min="23" max="24" width="8.42578125" customWidth="1"/>
    <col min="25" max="25" width="8.7109375" bestFit="1" customWidth="1"/>
    <col min="26" max="26" width="0.85546875" style="2" customWidth="1"/>
    <col min="27" max="27" width="9.5703125" style="2" customWidth="1"/>
    <col min="28" max="28" width="0.85546875" style="2" customWidth="1"/>
    <col min="29" max="29" width="9.5703125" bestFit="1" customWidth="1"/>
    <col min="30" max="30" width="8.28515625" bestFit="1" customWidth="1"/>
    <col min="31" max="31" width="9" bestFit="1" customWidth="1"/>
    <col min="32" max="33" width="8.42578125" bestFit="1" customWidth="1"/>
  </cols>
  <sheetData>
    <row r="1" spans="1:34" s="20" customFormat="1" ht="15.75" x14ac:dyDescent="0.25">
      <c r="A1" s="642" t="s">
        <v>299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124"/>
    </row>
    <row r="2" spans="1:34" s="15" customFormat="1" ht="15.75" x14ac:dyDescent="0.25">
      <c r="A2" s="19"/>
      <c r="B2" s="108"/>
      <c r="C2" s="108"/>
      <c r="D2" s="108"/>
      <c r="E2" s="108"/>
      <c r="F2" s="125"/>
      <c r="G2" s="124"/>
      <c r="H2" s="124"/>
      <c r="J2" s="4"/>
      <c r="K2" s="4"/>
      <c r="L2" s="4"/>
      <c r="M2" s="17"/>
      <c r="N2" s="17"/>
      <c r="O2" s="18"/>
      <c r="P2" s="17"/>
      <c r="Q2" s="17"/>
      <c r="R2" s="17"/>
      <c r="S2" s="18"/>
      <c r="T2" s="17"/>
      <c r="U2" s="17"/>
      <c r="W2" s="17"/>
      <c r="X2" s="17"/>
      <c r="Y2" s="17"/>
      <c r="AA2" s="4"/>
      <c r="AB2" s="108"/>
    </row>
    <row r="3" spans="1:34" s="4" customFormat="1" ht="15.75" customHeight="1" x14ac:dyDescent="0.25">
      <c r="A3" s="107"/>
      <c r="B3" s="108"/>
      <c r="C3" s="126"/>
      <c r="D3" s="108"/>
      <c r="E3" s="127"/>
      <c r="F3" s="634" t="s">
        <v>54</v>
      </c>
      <c r="G3" s="635"/>
      <c r="H3" s="635"/>
      <c r="I3" s="109"/>
      <c r="J3" s="639" t="s">
        <v>32</v>
      </c>
      <c r="K3" s="640"/>
      <c r="L3" s="109"/>
      <c r="M3" s="639" t="s">
        <v>34</v>
      </c>
      <c r="N3" s="643"/>
      <c r="O3" s="643"/>
      <c r="P3" s="643"/>
      <c r="Q3" s="643"/>
      <c r="R3" s="643"/>
      <c r="S3" s="109"/>
      <c r="T3" s="639" t="s">
        <v>35</v>
      </c>
      <c r="U3" s="643"/>
      <c r="V3" s="643"/>
      <c r="W3" s="643"/>
      <c r="X3" s="643"/>
      <c r="Y3" s="643"/>
      <c r="Z3" s="109"/>
      <c r="AA3" s="644" t="s">
        <v>55</v>
      </c>
      <c r="AB3" s="109"/>
      <c r="AC3" s="634" t="s">
        <v>119</v>
      </c>
      <c r="AD3" s="635"/>
      <c r="AE3" s="635"/>
    </row>
    <row r="4" spans="1:34" ht="74.25" x14ac:dyDescent="0.25">
      <c r="A4" s="364" t="s">
        <v>285</v>
      </c>
      <c r="B4" s="445" t="s">
        <v>286</v>
      </c>
      <c r="C4" s="444" t="s">
        <v>108</v>
      </c>
      <c r="D4" s="446" t="s">
        <v>11</v>
      </c>
      <c r="E4" s="110"/>
      <c r="F4" s="111" t="s">
        <v>23</v>
      </c>
      <c r="G4" s="112" t="s">
        <v>56</v>
      </c>
      <c r="H4" s="112" t="s">
        <v>25</v>
      </c>
      <c r="I4" s="124"/>
      <c r="J4" s="112" t="s">
        <v>57</v>
      </c>
      <c r="K4" s="112" t="s">
        <v>58</v>
      </c>
      <c r="L4" s="124"/>
      <c r="M4" s="112" t="s">
        <v>59</v>
      </c>
      <c r="N4" s="112" t="s">
        <v>60</v>
      </c>
      <c r="O4" s="13"/>
      <c r="P4" s="112" t="s">
        <v>88</v>
      </c>
      <c r="Q4" s="112" t="s">
        <v>89</v>
      </c>
      <c r="R4" s="112" t="s">
        <v>61</v>
      </c>
      <c r="S4" s="13"/>
      <c r="T4" s="112" t="s">
        <v>59</v>
      </c>
      <c r="U4" s="112" t="s">
        <v>60</v>
      </c>
      <c r="V4" s="124"/>
      <c r="W4" s="112" t="s">
        <v>88</v>
      </c>
      <c r="X4" s="112" t="s">
        <v>89</v>
      </c>
      <c r="Y4" s="112" t="s">
        <v>61</v>
      </c>
      <c r="Z4" s="124"/>
      <c r="AA4" s="645"/>
      <c r="AB4" s="13"/>
      <c r="AC4" s="111" t="s">
        <v>23</v>
      </c>
      <c r="AD4" s="77" t="s">
        <v>90</v>
      </c>
      <c r="AE4" s="112" t="s">
        <v>61</v>
      </c>
      <c r="AF4" s="112" t="s">
        <v>91</v>
      </c>
      <c r="AG4" s="112" t="s">
        <v>60</v>
      </c>
    </row>
    <row r="5" spans="1:34" x14ac:dyDescent="0.2">
      <c r="A5" s="377">
        <v>10050</v>
      </c>
      <c r="B5" s="377" t="s">
        <v>124</v>
      </c>
      <c r="C5" s="377" t="s">
        <v>703</v>
      </c>
      <c r="D5" s="404" t="s">
        <v>2</v>
      </c>
      <c r="E5" s="113"/>
      <c r="F5" s="81">
        <v>6816.5</v>
      </c>
      <c r="G5" s="81">
        <v>0</v>
      </c>
      <c r="H5" s="81">
        <v>6816.5</v>
      </c>
      <c r="I5" s="10"/>
      <c r="J5" s="81">
        <v>229.42</v>
      </c>
      <c r="K5" s="81">
        <v>211.78</v>
      </c>
      <c r="L5" s="128"/>
      <c r="M5" s="81">
        <v>0</v>
      </c>
      <c r="N5" s="81">
        <v>0</v>
      </c>
      <c r="O5" s="10"/>
      <c r="P5" s="81">
        <v>5901.21</v>
      </c>
      <c r="Q5" s="81">
        <v>578.12</v>
      </c>
      <c r="R5" s="81">
        <v>5323.09</v>
      </c>
      <c r="S5" s="10"/>
      <c r="T5" s="81">
        <v>0</v>
      </c>
      <c r="U5" s="81">
        <v>0</v>
      </c>
      <c r="V5" s="10"/>
      <c r="W5" s="81">
        <v>0</v>
      </c>
      <c r="X5" s="81">
        <v>0</v>
      </c>
      <c r="Y5" s="81">
        <v>0</v>
      </c>
      <c r="Z5" s="10"/>
      <c r="AA5" s="81">
        <f>H5+J5+K5+M5+N5+R5+T5+U5+Y5</f>
        <v>12580.79</v>
      </c>
      <c r="AB5" s="10"/>
      <c r="AC5" s="219">
        <f>F5+P5+W5</f>
        <v>12717.71</v>
      </c>
      <c r="AD5" s="219">
        <f>G5+Q5+X5</f>
        <v>578.12</v>
      </c>
      <c r="AE5" s="219">
        <f>H5+R5+Y5</f>
        <v>12139.59</v>
      </c>
      <c r="AF5" s="219">
        <f>J5+M5+T5</f>
        <v>229.42</v>
      </c>
      <c r="AG5" s="219">
        <f>K5+N5+U5</f>
        <v>211.78</v>
      </c>
      <c r="AH5" s="219"/>
    </row>
    <row r="6" spans="1:34" x14ac:dyDescent="0.2">
      <c r="A6" s="376">
        <v>10130</v>
      </c>
      <c r="B6" s="376" t="s">
        <v>126</v>
      </c>
      <c r="C6" s="376" t="s">
        <v>125</v>
      </c>
      <c r="D6" s="404" t="s">
        <v>2</v>
      </c>
      <c r="E6" s="113"/>
      <c r="F6" s="81">
        <v>5297.49</v>
      </c>
      <c r="G6" s="81">
        <v>115.8</v>
      </c>
      <c r="H6" s="81">
        <v>5181.6899999999996</v>
      </c>
      <c r="I6" s="10"/>
      <c r="J6" s="81">
        <v>48.78</v>
      </c>
      <c r="K6" s="81">
        <v>2.57</v>
      </c>
      <c r="L6" s="128"/>
      <c r="M6" s="81">
        <v>18.29</v>
      </c>
      <c r="N6" s="81">
        <v>0</v>
      </c>
      <c r="O6" s="10"/>
      <c r="P6" s="81">
        <v>430.51</v>
      </c>
      <c r="Q6" s="81">
        <v>164.17000000000002</v>
      </c>
      <c r="R6" s="81">
        <v>266.33999999999997</v>
      </c>
      <c r="S6" s="10"/>
      <c r="T6" s="81">
        <v>0</v>
      </c>
      <c r="U6" s="81">
        <v>0</v>
      </c>
      <c r="V6" s="10"/>
      <c r="W6" s="81">
        <v>0</v>
      </c>
      <c r="X6" s="81">
        <v>0</v>
      </c>
      <c r="Y6" s="81">
        <v>0</v>
      </c>
      <c r="Z6" s="10"/>
      <c r="AA6" s="81">
        <f t="shared" ref="AA6:AA69" si="0">H6+J6+K6+M6+N6+R6+T6+U6+Y6</f>
        <v>5517.6699999999992</v>
      </c>
      <c r="AB6" s="10"/>
      <c r="AC6" s="219">
        <f t="shared" ref="AC6:AC69" si="1">F6+P6+W6</f>
        <v>5728</v>
      </c>
      <c r="AD6" s="219">
        <f t="shared" ref="AD6:AD69" si="2">G6+Q6+X6</f>
        <v>279.97000000000003</v>
      </c>
      <c r="AE6" s="219">
        <f t="shared" ref="AE6:AE69" si="3">H6+R6+Y6</f>
        <v>5448.03</v>
      </c>
      <c r="AF6" s="219">
        <f t="shared" ref="AF6:AF69" si="4">J6+M6+T6</f>
        <v>67.069999999999993</v>
      </c>
      <c r="AG6" s="219">
        <f t="shared" ref="AG6:AG69" si="5">K6+N6+U6</f>
        <v>2.57</v>
      </c>
      <c r="AH6" s="219"/>
    </row>
    <row r="7" spans="1:34" x14ac:dyDescent="0.2">
      <c r="A7" s="376">
        <v>10250</v>
      </c>
      <c r="B7" s="376" t="s">
        <v>132</v>
      </c>
      <c r="C7" s="376" t="s">
        <v>131</v>
      </c>
      <c r="D7" s="404" t="s">
        <v>5</v>
      </c>
      <c r="E7" s="113"/>
      <c r="F7" s="81">
        <v>7882.58</v>
      </c>
      <c r="G7" s="81">
        <v>0</v>
      </c>
      <c r="H7" s="81">
        <v>7882.58</v>
      </c>
      <c r="I7" s="10"/>
      <c r="J7" s="81">
        <v>44.1</v>
      </c>
      <c r="K7" s="81">
        <v>0</v>
      </c>
      <c r="L7" s="128"/>
      <c r="M7" s="81">
        <v>61</v>
      </c>
      <c r="N7" s="81">
        <v>0</v>
      </c>
      <c r="O7" s="10"/>
      <c r="P7" s="81">
        <v>388</v>
      </c>
      <c r="Q7" s="81">
        <v>43</v>
      </c>
      <c r="R7" s="81">
        <v>345</v>
      </c>
      <c r="S7" s="10"/>
      <c r="T7" s="81">
        <v>0</v>
      </c>
      <c r="U7" s="81">
        <v>0</v>
      </c>
      <c r="V7" s="10"/>
      <c r="W7" s="81">
        <v>0</v>
      </c>
      <c r="X7" s="81">
        <v>0</v>
      </c>
      <c r="Y7" s="81">
        <v>0</v>
      </c>
      <c r="Z7" s="10"/>
      <c r="AA7" s="81">
        <f t="shared" si="0"/>
        <v>8332.68</v>
      </c>
      <c r="AB7" s="10"/>
      <c r="AC7" s="219">
        <f t="shared" si="1"/>
        <v>8270.58</v>
      </c>
      <c r="AD7" s="219">
        <f t="shared" si="2"/>
        <v>43</v>
      </c>
      <c r="AE7" s="219">
        <f t="shared" si="3"/>
        <v>8227.58</v>
      </c>
      <c r="AF7" s="219">
        <f t="shared" si="4"/>
        <v>105.1</v>
      </c>
      <c r="AG7" s="219">
        <f t="shared" si="5"/>
        <v>0</v>
      </c>
      <c r="AH7" s="219"/>
    </row>
    <row r="8" spans="1:34" x14ac:dyDescent="0.2">
      <c r="A8" s="376">
        <v>10300</v>
      </c>
      <c r="B8" s="376" t="s">
        <v>133</v>
      </c>
      <c r="C8" s="376" t="s">
        <v>703</v>
      </c>
      <c r="D8" s="404" t="s">
        <v>2</v>
      </c>
      <c r="E8" s="113"/>
      <c r="F8" s="81">
        <v>546</v>
      </c>
      <c r="G8" s="81">
        <v>0</v>
      </c>
      <c r="H8" s="81">
        <v>546</v>
      </c>
      <c r="I8" s="10"/>
      <c r="J8" s="81">
        <v>0</v>
      </c>
      <c r="K8" s="81">
        <v>0</v>
      </c>
      <c r="L8" s="128"/>
      <c r="M8" s="81">
        <v>0</v>
      </c>
      <c r="N8" s="81">
        <v>0</v>
      </c>
      <c r="O8" s="10"/>
      <c r="P8" s="81">
        <v>0</v>
      </c>
      <c r="Q8" s="81">
        <v>0</v>
      </c>
      <c r="R8" s="81">
        <v>0</v>
      </c>
      <c r="S8" s="10"/>
      <c r="T8" s="81">
        <v>0</v>
      </c>
      <c r="U8" s="81">
        <v>0</v>
      </c>
      <c r="V8" s="10"/>
      <c r="W8" s="81">
        <v>10</v>
      </c>
      <c r="X8" s="81">
        <v>0</v>
      </c>
      <c r="Y8" s="81">
        <v>10</v>
      </c>
      <c r="Z8" s="10"/>
      <c r="AA8" s="81">
        <f t="shared" si="0"/>
        <v>556</v>
      </c>
      <c r="AB8" s="10"/>
      <c r="AC8" s="219">
        <f t="shared" si="1"/>
        <v>556</v>
      </c>
      <c r="AD8" s="219">
        <f t="shared" si="2"/>
        <v>0</v>
      </c>
      <c r="AE8" s="219">
        <f t="shared" si="3"/>
        <v>556</v>
      </c>
      <c r="AF8" s="219">
        <f t="shared" si="4"/>
        <v>0</v>
      </c>
      <c r="AG8" s="219">
        <f t="shared" si="5"/>
        <v>0</v>
      </c>
      <c r="AH8" s="219"/>
    </row>
    <row r="9" spans="1:34" x14ac:dyDescent="0.2">
      <c r="A9" s="376">
        <v>10470</v>
      </c>
      <c r="B9" s="376" t="s">
        <v>135</v>
      </c>
      <c r="C9" s="376" t="s">
        <v>293</v>
      </c>
      <c r="D9" s="404" t="s">
        <v>2</v>
      </c>
      <c r="E9" s="113"/>
      <c r="F9" s="81">
        <v>10683.08</v>
      </c>
      <c r="G9" s="81">
        <v>0</v>
      </c>
      <c r="H9" s="81">
        <v>10683.08</v>
      </c>
      <c r="I9" s="10"/>
      <c r="J9" s="81">
        <v>215</v>
      </c>
      <c r="K9" s="81">
        <v>4</v>
      </c>
      <c r="L9" s="128"/>
      <c r="M9" s="81">
        <v>0</v>
      </c>
      <c r="N9" s="81">
        <v>0</v>
      </c>
      <c r="O9" s="10"/>
      <c r="P9" s="81">
        <v>35.200000000000003</v>
      </c>
      <c r="Q9" s="81">
        <v>35.200000000000003</v>
      </c>
      <c r="R9" s="81">
        <v>0</v>
      </c>
      <c r="S9" s="10"/>
      <c r="T9" s="81">
        <v>0</v>
      </c>
      <c r="U9" s="81">
        <v>0</v>
      </c>
      <c r="V9" s="10"/>
      <c r="W9" s="81">
        <v>0</v>
      </c>
      <c r="X9" s="81">
        <v>0</v>
      </c>
      <c r="Y9" s="81">
        <v>0</v>
      </c>
      <c r="Z9" s="10"/>
      <c r="AA9" s="81">
        <f t="shared" si="0"/>
        <v>10902.08</v>
      </c>
      <c r="AB9" s="10"/>
      <c r="AC9" s="219">
        <f t="shared" si="1"/>
        <v>10718.28</v>
      </c>
      <c r="AD9" s="219">
        <f t="shared" si="2"/>
        <v>35.200000000000003</v>
      </c>
      <c r="AE9" s="219">
        <f t="shared" si="3"/>
        <v>10683.08</v>
      </c>
      <c r="AF9" s="219">
        <f t="shared" si="4"/>
        <v>215</v>
      </c>
      <c r="AG9" s="219">
        <f t="shared" si="5"/>
        <v>4</v>
      </c>
      <c r="AH9" s="219"/>
    </row>
    <row r="10" spans="1:34" x14ac:dyDescent="0.2">
      <c r="A10" s="376">
        <v>10500</v>
      </c>
      <c r="B10" s="376" t="s">
        <v>149</v>
      </c>
      <c r="C10" s="376" t="s">
        <v>127</v>
      </c>
      <c r="D10" s="404" t="s">
        <v>4</v>
      </c>
      <c r="E10" s="113"/>
      <c r="F10" s="81">
        <v>42265</v>
      </c>
      <c r="G10" s="81">
        <v>18666</v>
      </c>
      <c r="H10" s="81">
        <v>23599</v>
      </c>
      <c r="I10" s="10"/>
      <c r="J10" s="81">
        <v>2524</v>
      </c>
      <c r="K10" s="81">
        <v>155</v>
      </c>
      <c r="L10" s="128"/>
      <c r="M10" s="81">
        <v>0</v>
      </c>
      <c r="N10" s="81">
        <v>0</v>
      </c>
      <c r="O10" s="10"/>
      <c r="P10" s="81">
        <v>0</v>
      </c>
      <c r="Q10" s="81">
        <v>0</v>
      </c>
      <c r="R10" s="81">
        <v>0</v>
      </c>
      <c r="S10" s="10"/>
      <c r="T10" s="81">
        <v>0</v>
      </c>
      <c r="U10" s="81">
        <v>0</v>
      </c>
      <c r="V10" s="10"/>
      <c r="W10" s="81">
        <v>7323</v>
      </c>
      <c r="X10" s="81">
        <v>1037</v>
      </c>
      <c r="Y10" s="81">
        <v>6286</v>
      </c>
      <c r="Z10" s="10"/>
      <c r="AA10" s="81">
        <f t="shared" si="0"/>
        <v>32564</v>
      </c>
      <c r="AB10" s="10"/>
      <c r="AC10" s="219">
        <f t="shared" si="1"/>
        <v>49588</v>
      </c>
      <c r="AD10" s="219">
        <f t="shared" si="2"/>
        <v>19703</v>
      </c>
      <c r="AE10" s="219">
        <f t="shared" si="3"/>
        <v>29885</v>
      </c>
      <c r="AF10" s="219">
        <f t="shared" si="4"/>
        <v>2524</v>
      </c>
      <c r="AG10" s="219">
        <f t="shared" si="5"/>
        <v>155</v>
      </c>
      <c r="AH10" s="219"/>
    </row>
    <row r="11" spans="1:34" x14ac:dyDescent="0.2">
      <c r="A11" s="376">
        <v>10550</v>
      </c>
      <c r="B11" s="376" t="s">
        <v>138</v>
      </c>
      <c r="C11" s="376" t="s">
        <v>704</v>
      </c>
      <c r="D11" s="404" t="s">
        <v>2</v>
      </c>
      <c r="E11" s="113"/>
      <c r="F11" s="81">
        <v>8730</v>
      </c>
      <c r="G11" s="81">
        <v>0</v>
      </c>
      <c r="H11" s="81">
        <v>8730</v>
      </c>
      <c r="I11" s="10"/>
      <c r="J11" s="81">
        <v>166.48</v>
      </c>
      <c r="K11" s="81">
        <v>14</v>
      </c>
      <c r="L11" s="128"/>
      <c r="M11" s="81">
        <v>0</v>
      </c>
      <c r="N11" s="81">
        <v>0</v>
      </c>
      <c r="O11" s="10"/>
      <c r="P11" s="81">
        <v>4350</v>
      </c>
      <c r="Q11" s="81">
        <v>0</v>
      </c>
      <c r="R11" s="81">
        <v>4350</v>
      </c>
      <c r="S11" s="10"/>
      <c r="T11" s="81">
        <v>0</v>
      </c>
      <c r="U11" s="81">
        <v>0</v>
      </c>
      <c r="V11" s="10"/>
      <c r="W11" s="81">
        <v>0</v>
      </c>
      <c r="X11" s="81">
        <v>0</v>
      </c>
      <c r="Y11" s="81">
        <v>0</v>
      </c>
      <c r="Z11" s="10"/>
      <c r="AA11" s="81">
        <f t="shared" si="0"/>
        <v>13260.48</v>
      </c>
      <c r="AB11" s="10"/>
      <c r="AC11" s="219">
        <f t="shared" si="1"/>
        <v>13080</v>
      </c>
      <c r="AD11" s="219">
        <f t="shared" si="2"/>
        <v>0</v>
      </c>
      <c r="AE11" s="219">
        <f t="shared" si="3"/>
        <v>13080</v>
      </c>
      <c r="AF11" s="219">
        <f t="shared" si="4"/>
        <v>166.48</v>
      </c>
      <c r="AG11" s="219">
        <f t="shared" si="5"/>
        <v>14</v>
      </c>
      <c r="AH11" s="219"/>
    </row>
    <row r="12" spans="1:34" x14ac:dyDescent="0.2">
      <c r="A12" s="376">
        <v>10600</v>
      </c>
      <c r="B12" s="376" t="s">
        <v>139</v>
      </c>
      <c r="C12" s="376" t="s">
        <v>294</v>
      </c>
      <c r="D12" s="404" t="s">
        <v>5</v>
      </c>
      <c r="E12" s="113"/>
      <c r="F12" s="81">
        <v>1427.33</v>
      </c>
      <c r="G12" s="81">
        <v>747.32999999999993</v>
      </c>
      <c r="H12" s="81">
        <v>680</v>
      </c>
      <c r="I12" s="10"/>
      <c r="J12" s="81">
        <v>116</v>
      </c>
      <c r="K12" s="81">
        <v>40</v>
      </c>
      <c r="L12" s="128"/>
      <c r="M12" s="81">
        <v>0</v>
      </c>
      <c r="N12" s="81">
        <v>0</v>
      </c>
      <c r="O12" s="10"/>
      <c r="P12" s="81">
        <v>737.03</v>
      </c>
      <c r="Q12" s="81">
        <v>499.96999999999997</v>
      </c>
      <c r="R12" s="81">
        <v>237.06</v>
      </c>
      <c r="S12" s="10"/>
      <c r="T12" s="81">
        <v>0</v>
      </c>
      <c r="U12" s="81">
        <v>0</v>
      </c>
      <c r="V12" s="10"/>
      <c r="W12" s="81">
        <v>342.6</v>
      </c>
      <c r="X12" s="81">
        <v>0</v>
      </c>
      <c r="Y12" s="81">
        <v>342.6</v>
      </c>
      <c r="Z12" s="10"/>
      <c r="AA12" s="81">
        <f t="shared" si="0"/>
        <v>1415.6599999999999</v>
      </c>
      <c r="AB12" s="10"/>
      <c r="AC12" s="219">
        <f t="shared" si="1"/>
        <v>2506.9599999999996</v>
      </c>
      <c r="AD12" s="219">
        <f t="shared" si="2"/>
        <v>1247.3</v>
      </c>
      <c r="AE12" s="219">
        <f t="shared" si="3"/>
        <v>1259.6599999999999</v>
      </c>
      <c r="AF12" s="219">
        <f t="shared" si="4"/>
        <v>116</v>
      </c>
      <c r="AG12" s="219">
        <f t="shared" si="5"/>
        <v>40</v>
      </c>
      <c r="AH12" s="219"/>
    </row>
    <row r="13" spans="1:34" x14ac:dyDescent="0.2">
      <c r="A13" s="376">
        <v>10650</v>
      </c>
      <c r="B13" s="376" t="s">
        <v>140</v>
      </c>
      <c r="C13" s="376" t="s">
        <v>703</v>
      </c>
      <c r="D13" s="404" t="s">
        <v>2</v>
      </c>
      <c r="E13" s="113"/>
      <c r="F13" s="81">
        <v>1249</v>
      </c>
      <c r="G13" s="81">
        <v>0</v>
      </c>
      <c r="H13" s="81">
        <v>1249</v>
      </c>
      <c r="I13" s="10"/>
      <c r="J13" s="81">
        <v>29.29</v>
      </c>
      <c r="K13" s="81">
        <v>0</v>
      </c>
      <c r="L13" s="128"/>
      <c r="M13" s="81">
        <v>0</v>
      </c>
      <c r="N13" s="81">
        <v>0</v>
      </c>
      <c r="O13" s="10"/>
      <c r="P13" s="81">
        <v>1418</v>
      </c>
      <c r="Q13" s="81">
        <v>1</v>
      </c>
      <c r="R13" s="81">
        <v>1417</v>
      </c>
      <c r="S13" s="10"/>
      <c r="T13" s="81">
        <v>0</v>
      </c>
      <c r="U13" s="81">
        <v>0</v>
      </c>
      <c r="V13" s="10"/>
      <c r="W13" s="81">
        <v>0</v>
      </c>
      <c r="X13" s="81">
        <v>0</v>
      </c>
      <c r="Y13" s="81">
        <v>0</v>
      </c>
      <c r="Z13" s="10"/>
      <c r="AA13" s="81">
        <f t="shared" si="0"/>
        <v>2695.29</v>
      </c>
      <c r="AB13" s="10"/>
      <c r="AC13" s="219">
        <f t="shared" si="1"/>
        <v>2667</v>
      </c>
      <c r="AD13" s="219">
        <f t="shared" si="2"/>
        <v>1</v>
      </c>
      <c r="AE13" s="219">
        <f t="shared" si="3"/>
        <v>2666</v>
      </c>
      <c r="AF13" s="219">
        <f t="shared" si="4"/>
        <v>29.29</v>
      </c>
      <c r="AG13" s="219">
        <f t="shared" si="5"/>
        <v>0</v>
      </c>
      <c r="AH13" s="219"/>
    </row>
    <row r="14" spans="1:34" x14ac:dyDescent="0.2">
      <c r="A14" s="376">
        <v>10750</v>
      </c>
      <c r="B14" s="376" t="s">
        <v>141</v>
      </c>
      <c r="C14" s="376" t="s">
        <v>129</v>
      </c>
      <c r="D14" s="404" t="s">
        <v>4</v>
      </c>
      <c r="E14" s="113"/>
      <c r="F14" s="81">
        <v>102571</v>
      </c>
      <c r="G14" s="81">
        <v>60196</v>
      </c>
      <c r="H14" s="81">
        <v>42375</v>
      </c>
      <c r="I14" s="10"/>
      <c r="J14" s="81">
        <v>2474.5500000000002</v>
      </c>
      <c r="K14" s="81">
        <v>0</v>
      </c>
      <c r="L14" s="128"/>
      <c r="M14" s="81">
        <v>0</v>
      </c>
      <c r="N14" s="81">
        <v>0</v>
      </c>
      <c r="O14" s="10"/>
      <c r="P14" s="81">
        <v>0</v>
      </c>
      <c r="Q14" s="81">
        <v>0</v>
      </c>
      <c r="R14" s="81">
        <v>0</v>
      </c>
      <c r="S14" s="10"/>
      <c r="T14" s="81">
        <v>0</v>
      </c>
      <c r="U14" s="81">
        <v>0</v>
      </c>
      <c r="V14" s="10"/>
      <c r="W14" s="81">
        <v>11640</v>
      </c>
      <c r="X14" s="81">
        <v>244</v>
      </c>
      <c r="Y14" s="81">
        <v>11396</v>
      </c>
      <c r="Z14" s="10"/>
      <c r="AA14" s="81">
        <f t="shared" si="0"/>
        <v>56245.55</v>
      </c>
      <c r="AB14" s="10"/>
      <c r="AC14" s="219">
        <f t="shared" si="1"/>
        <v>114211</v>
      </c>
      <c r="AD14" s="219">
        <f t="shared" si="2"/>
        <v>60440</v>
      </c>
      <c r="AE14" s="219">
        <f t="shared" si="3"/>
        <v>53771</v>
      </c>
      <c r="AF14" s="219">
        <f t="shared" si="4"/>
        <v>2474.5500000000002</v>
      </c>
      <c r="AG14" s="219">
        <f t="shared" si="5"/>
        <v>0</v>
      </c>
      <c r="AH14" s="219"/>
    </row>
    <row r="15" spans="1:34" x14ac:dyDescent="0.2">
      <c r="A15" s="376">
        <v>10800</v>
      </c>
      <c r="B15" s="376" t="s">
        <v>143</v>
      </c>
      <c r="C15" s="376" t="s">
        <v>142</v>
      </c>
      <c r="D15" s="404" t="s">
        <v>2</v>
      </c>
      <c r="E15" s="113"/>
      <c r="F15" s="81">
        <v>1006.4</v>
      </c>
      <c r="G15" s="81">
        <v>0</v>
      </c>
      <c r="H15" s="81">
        <v>1006.4</v>
      </c>
      <c r="I15" s="10"/>
      <c r="J15" s="81">
        <v>0</v>
      </c>
      <c r="K15" s="81">
        <v>0</v>
      </c>
      <c r="L15" s="128"/>
      <c r="M15" s="81">
        <v>0</v>
      </c>
      <c r="N15" s="81">
        <v>0</v>
      </c>
      <c r="O15" s="10"/>
      <c r="P15" s="81">
        <v>811.74</v>
      </c>
      <c r="Q15" s="81">
        <v>1</v>
      </c>
      <c r="R15" s="81">
        <v>810.74</v>
      </c>
      <c r="S15" s="10"/>
      <c r="T15" s="81">
        <v>0</v>
      </c>
      <c r="U15" s="81">
        <v>0</v>
      </c>
      <c r="V15" s="10"/>
      <c r="W15" s="81">
        <v>0</v>
      </c>
      <c r="X15" s="81">
        <v>0</v>
      </c>
      <c r="Y15" s="81">
        <v>0</v>
      </c>
      <c r="Z15" s="10"/>
      <c r="AA15" s="81">
        <f t="shared" si="0"/>
        <v>1817.1399999999999</v>
      </c>
      <c r="AB15" s="10"/>
      <c r="AC15" s="219">
        <f t="shared" si="1"/>
        <v>1818.1399999999999</v>
      </c>
      <c r="AD15" s="219">
        <f t="shared" si="2"/>
        <v>1</v>
      </c>
      <c r="AE15" s="219">
        <f t="shared" si="3"/>
        <v>1817.1399999999999</v>
      </c>
      <c r="AF15" s="219">
        <f t="shared" si="4"/>
        <v>0</v>
      </c>
      <c r="AG15" s="219">
        <f t="shared" si="5"/>
        <v>0</v>
      </c>
      <c r="AH15" s="219"/>
    </row>
    <row r="16" spans="1:34" x14ac:dyDescent="0.2">
      <c r="A16" s="376">
        <v>10850</v>
      </c>
      <c r="B16" s="376" t="s">
        <v>144</v>
      </c>
      <c r="C16" s="376" t="s">
        <v>293</v>
      </c>
      <c r="D16" s="404" t="s">
        <v>2</v>
      </c>
      <c r="E16" s="113"/>
      <c r="F16" s="81">
        <v>1873.27</v>
      </c>
      <c r="G16" s="81">
        <v>0</v>
      </c>
      <c r="H16" s="81">
        <v>1873.27</v>
      </c>
      <c r="I16" s="10"/>
      <c r="J16" s="81">
        <v>39.68</v>
      </c>
      <c r="K16" s="81">
        <v>0</v>
      </c>
      <c r="L16" s="128"/>
      <c r="M16" s="81">
        <v>0</v>
      </c>
      <c r="N16" s="81">
        <v>0</v>
      </c>
      <c r="O16" s="10"/>
      <c r="P16" s="81">
        <v>6.23</v>
      </c>
      <c r="Q16" s="81">
        <v>6.23</v>
      </c>
      <c r="R16" s="81">
        <v>0</v>
      </c>
      <c r="S16" s="10"/>
      <c r="T16" s="81">
        <v>0</v>
      </c>
      <c r="U16" s="81">
        <v>0</v>
      </c>
      <c r="V16" s="10"/>
      <c r="W16" s="81">
        <v>122.75</v>
      </c>
      <c r="X16" s="81">
        <v>122.75</v>
      </c>
      <c r="Y16" s="81">
        <v>0</v>
      </c>
      <c r="Z16" s="10"/>
      <c r="AA16" s="81">
        <f t="shared" si="0"/>
        <v>1912.95</v>
      </c>
      <c r="AB16" s="10"/>
      <c r="AC16" s="219">
        <f t="shared" si="1"/>
        <v>2002.25</v>
      </c>
      <c r="AD16" s="219">
        <f t="shared" si="2"/>
        <v>128.97999999999999</v>
      </c>
      <c r="AE16" s="219">
        <f t="shared" si="3"/>
        <v>1873.27</v>
      </c>
      <c r="AF16" s="219">
        <f t="shared" si="4"/>
        <v>39.68</v>
      </c>
      <c r="AG16" s="219">
        <f t="shared" si="5"/>
        <v>0</v>
      </c>
      <c r="AH16" s="219"/>
    </row>
    <row r="17" spans="1:34" x14ac:dyDescent="0.2">
      <c r="A17" s="376">
        <v>10900</v>
      </c>
      <c r="B17" s="376" t="s">
        <v>145</v>
      </c>
      <c r="C17" s="376" t="s">
        <v>129</v>
      </c>
      <c r="D17" s="404" t="s">
        <v>5</v>
      </c>
      <c r="E17" s="113"/>
      <c r="F17" s="81">
        <v>17262.82</v>
      </c>
      <c r="G17" s="81">
        <v>0</v>
      </c>
      <c r="H17" s="81">
        <v>17262.82</v>
      </c>
      <c r="I17" s="10"/>
      <c r="J17" s="81">
        <v>753.78</v>
      </c>
      <c r="K17" s="81">
        <v>147.02000000000001</v>
      </c>
      <c r="L17" s="128"/>
      <c r="M17" s="81">
        <v>13.98</v>
      </c>
      <c r="N17" s="81">
        <v>0</v>
      </c>
      <c r="O17" s="10"/>
      <c r="P17" s="81">
        <v>3752.4700000000003</v>
      </c>
      <c r="Q17" s="81">
        <v>287.02000000000066</v>
      </c>
      <c r="R17" s="81">
        <v>3465.45</v>
      </c>
      <c r="S17" s="10"/>
      <c r="T17" s="81">
        <v>0</v>
      </c>
      <c r="U17" s="81">
        <v>0</v>
      </c>
      <c r="V17" s="10"/>
      <c r="W17" s="81">
        <v>1233.08</v>
      </c>
      <c r="X17" s="81">
        <v>445.08</v>
      </c>
      <c r="Y17" s="81">
        <v>788</v>
      </c>
      <c r="Z17" s="10"/>
      <c r="AA17" s="81">
        <f t="shared" si="0"/>
        <v>22431.05</v>
      </c>
      <c r="AB17" s="10"/>
      <c r="AC17" s="219">
        <f t="shared" si="1"/>
        <v>22248.370000000003</v>
      </c>
      <c r="AD17" s="219">
        <f t="shared" si="2"/>
        <v>732.10000000000059</v>
      </c>
      <c r="AE17" s="219">
        <f t="shared" si="3"/>
        <v>21516.27</v>
      </c>
      <c r="AF17" s="219">
        <f t="shared" si="4"/>
        <v>767.76</v>
      </c>
      <c r="AG17" s="219">
        <f t="shared" si="5"/>
        <v>147.02000000000001</v>
      </c>
      <c r="AH17" s="219"/>
    </row>
    <row r="18" spans="1:34" x14ac:dyDescent="0.2">
      <c r="A18" s="376">
        <v>10950</v>
      </c>
      <c r="B18" s="376" t="s">
        <v>146</v>
      </c>
      <c r="C18" s="376" t="s">
        <v>293</v>
      </c>
      <c r="D18" s="404" t="s">
        <v>2</v>
      </c>
      <c r="E18" s="113"/>
      <c r="F18" s="81">
        <v>895</v>
      </c>
      <c r="G18" s="81">
        <v>0</v>
      </c>
      <c r="H18" s="81">
        <v>895</v>
      </c>
      <c r="I18" s="10"/>
      <c r="J18" s="81">
        <v>62</v>
      </c>
      <c r="K18" s="81">
        <v>0</v>
      </c>
      <c r="L18" s="128"/>
      <c r="M18" s="81">
        <v>0</v>
      </c>
      <c r="N18" s="81">
        <v>0</v>
      </c>
      <c r="O18" s="10"/>
      <c r="P18" s="81">
        <v>819</v>
      </c>
      <c r="Q18" s="81">
        <v>0</v>
      </c>
      <c r="R18" s="81">
        <v>819</v>
      </c>
      <c r="S18" s="10"/>
      <c r="T18" s="81">
        <v>0</v>
      </c>
      <c r="U18" s="81">
        <v>0</v>
      </c>
      <c r="V18" s="10"/>
      <c r="W18" s="81">
        <v>0</v>
      </c>
      <c r="X18" s="81">
        <v>0</v>
      </c>
      <c r="Y18" s="81">
        <v>0</v>
      </c>
      <c r="Z18" s="10"/>
      <c r="AA18" s="81">
        <f t="shared" si="0"/>
        <v>1776</v>
      </c>
      <c r="AB18" s="10"/>
      <c r="AC18" s="219">
        <f t="shared" si="1"/>
        <v>1714</v>
      </c>
      <c r="AD18" s="219">
        <f t="shared" si="2"/>
        <v>0</v>
      </c>
      <c r="AE18" s="219">
        <f t="shared" si="3"/>
        <v>1714</v>
      </c>
      <c r="AF18" s="219">
        <f t="shared" si="4"/>
        <v>62</v>
      </c>
      <c r="AG18" s="219">
        <f t="shared" si="5"/>
        <v>0</v>
      </c>
      <c r="AH18" s="219"/>
    </row>
    <row r="19" spans="1:34" x14ac:dyDescent="0.2">
      <c r="A19" s="376">
        <v>11150</v>
      </c>
      <c r="B19" s="376" t="s">
        <v>150</v>
      </c>
      <c r="C19" s="376" t="s">
        <v>293</v>
      </c>
      <c r="D19" s="404" t="s">
        <v>2</v>
      </c>
      <c r="E19" s="113"/>
      <c r="F19" s="81">
        <v>466.51</v>
      </c>
      <c r="G19" s="81">
        <v>0</v>
      </c>
      <c r="H19" s="81">
        <v>466.51</v>
      </c>
      <c r="I19" s="10"/>
      <c r="J19" s="81">
        <v>0</v>
      </c>
      <c r="K19" s="81">
        <v>0</v>
      </c>
      <c r="L19" s="128"/>
      <c r="M19" s="81">
        <v>0</v>
      </c>
      <c r="N19" s="81">
        <v>0</v>
      </c>
      <c r="O19" s="10"/>
      <c r="P19" s="81">
        <v>0</v>
      </c>
      <c r="Q19" s="81">
        <v>0</v>
      </c>
      <c r="R19" s="81">
        <v>0</v>
      </c>
      <c r="S19" s="10"/>
      <c r="T19" s="81">
        <v>0</v>
      </c>
      <c r="U19" s="81">
        <v>0</v>
      </c>
      <c r="V19" s="10"/>
      <c r="W19" s="81">
        <v>0</v>
      </c>
      <c r="X19" s="81">
        <v>0</v>
      </c>
      <c r="Y19" s="81">
        <v>0</v>
      </c>
      <c r="Z19" s="10"/>
      <c r="AA19" s="81">
        <f t="shared" si="0"/>
        <v>466.51</v>
      </c>
      <c r="AB19" s="10"/>
      <c r="AC19" s="219">
        <f t="shared" si="1"/>
        <v>466.51</v>
      </c>
      <c r="AD19" s="219">
        <f t="shared" si="2"/>
        <v>0</v>
      </c>
      <c r="AE19" s="219">
        <f t="shared" si="3"/>
        <v>466.51</v>
      </c>
      <c r="AF19" s="219">
        <f t="shared" si="4"/>
        <v>0</v>
      </c>
      <c r="AG19" s="219">
        <f t="shared" si="5"/>
        <v>0</v>
      </c>
      <c r="AH19" s="219"/>
    </row>
    <row r="20" spans="1:34" x14ac:dyDescent="0.2">
      <c r="A20" s="376">
        <v>11200</v>
      </c>
      <c r="B20" s="376" t="s">
        <v>151</v>
      </c>
      <c r="C20" s="376" t="s">
        <v>293</v>
      </c>
      <c r="D20" s="404" t="s">
        <v>2</v>
      </c>
      <c r="E20" s="113"/>
      <c r="F20" s="81">
        <v>500</v>
      </c>
      <c r="G20" s="81">
        <v>0</v>
      </c>
      <c r="H20" s="81">
        <v>500</v>
      </c>
      <c r="I20" s="10"/>
      <c r="J20" s="81">
        <v>0</v>
      </c>
      <c r="K20" s="81">
        <v>0</v>
      </c>
      <c r="L20" s="128"/>
      <c r="M20" s="81">
        <v>0</v>
      </c>
      <c r="N20" s="81">
        <v>0</v>
      </c>
      <c r="O20" s="10"/>
      <c r="P20" s="81">
        <v>545</v>
      </c>
      <c r="Q20" s="81">
        <v>0</v>
      </c>
      <c r="R20" s="81">
        <v>545</v>
      </c>
      <c r="S20" s="10"/>
      <c r="T20" s="81">
        <v>0</v>
      </c>
      <c r="U20" s="81">
        <v>0</v>
      </c>
      <c r="V20" s="10"/>
      <c r="W20" s="81">
        <v>0</v>
      </c>
      <c r="X20" s="81">
        <v>0</v>
      </c>
      <c r="Y20" s="81">
        <v>0</v>
      </c>
      <c r="Z20" s="10"/>
      <c r="AA20" s="81">
        <f t="shared" si="0"/>
        <v>1045</v>
      </c>
      <c r="AB20" s="10"/>
      <c r="AC20" s="219">
        <f t="shared" si="1"/>
        <v>1045</v>
      </c>
      <c r="AD20" s="219">
        <f t="shared" si="2"/>
        <v>0</v>
      </c>
      <c r="AE20" s="219">
        <f t="shared" si="3"/>
        <v>1045</v>
      </c>
      <c r="AF20" s="219">
        <f t="shared" si="4"/>
        <v>0</v>
      </c>
      <c r="AG20" s="219">
        <f t="shared" si="5"/>
        <v>0</v>
      </c>
      <c r="AH20" s="219"/>
    </row>
    <row r="21" spans="1:34" x14ac:dyDescent="0.2">
      <c r="A21" s="376">
        <v>11250</v>
      </c>
      <c r="B21" s="376" t="s">
        <v>152</v>
      </c>
      <c r="C21" s="376" t="s">
        <v>293</v>
      </c>
      <c r="D21" s="404" t="s">
        <v>2</v>
      </c>
      <c r="E21" s="113"/>
      <c r="F21" s="81">
        <v>6691.7</v>
      </c>
      <c r="G21" s="81">
        <v>0</v>
      </c>
      <c r="H21" s="81">
        <v>6691.7</v>
      </c>
      <c r="I21" s="10"/>
      <c r="J21" s="81">
        <v>0</v>
      </c>
      <c r="K21" s="81">
        <v>281.42</v>
      </c>
      <c r="L21" s="128"/>
      <c r="M21" s="81">
        <v>0</v>
      </c>
      <c r="N21" s="81">
        <v>0</v>
      </c>
      <c r="O21" s="10"/>
      <c r="P21" s="81">
        <v>10103.599999999999</v>
      </c>
      <c r="Q21" s="81">
        <v>1674.3799999999992</v>
      </c>
      <c r="R21" s="81">
        <v>8429.2199999999993</v>
      </c>
      <c r="S21" s="10"/>
      <c r="T21" s="81">
        <v>0</v>
      </c>
      <c r="U21" s="81">
        <v>0</v>
      </c>
      <c r="V21" s="10"/>
      <c r="W21" s="81">
        <v>0</v>
      </c>
      <c r="X21" s="81">
        <v>0</v>
      </c>
      <c r="Y21" s="81">
        <v>0</v>
      </c>
      <c r="Z21" s="10"/>
      <c r="AA21" s="81">
        <f t="shared" si="0"/>
        <v>15402.34</v>
      </c>
      <c r="AB21" s="10"/>
      <c r="AC21" s="219">
        <f t="shared" si="1"/>
        <v>16795.3</v>
      </c>
      <c r="AD21" s="219">
        <f t="shared" si="2"/>
        <v>1674.3799999999992</v>
      </c>
      <c r="AE21" s="219">
        <f t="shared" si="3"/>
        <v>15120.919999999998</v>
      </c>
      <c r="AF21" s="219">
        <f t="shared" si="4"/>
        <v>0</v>
      </c>
      <c r="AG21" s="219">
        <f t="shared" si="5"/>
        <v>281.42</v>
      </c>
      <c r="AH21" s="219"/>
    </row>
    <row r="22" spans="1:34" x14ac:dyDescent="0.2">
      <c r="A22" s="376">
        <v>11300</v>
      </c>
      <c r="B22" s="376" t="s">
        <v>153</v>
      </c>
      <c r="C22" s="376" t="s">
        <v>127</v>
      </c>
      <c r="D22" s="404" t="s">
        <v>4</v>
      </c>
      <c r="E22" s="113"/>
      <c r="F22" s="81">
        <v>7639.16</v>
      </c>
      <c r="G22" s="81">
        <v>0</v>
      </c>
      <c r="H22" s="81">
        <v>7639.16</v>
      </c>
      <c r="I22" s="10"/>
      <c r="J22" s="81">
        <v>288.14</v>
      </c>
      <c r="K22" s="81">
        <v>0</v>
      </c>
      <c r="L22" s="128"/>
      <c r="M22" s="81">
        <v>0</v>
      </c>
      <c r="N22" s="81">
        <v>0</v>
      </c>
      <c r="O22" s="10"/>
      <c r="P22" s="81">
        <v>0.11</v>
      </c>
      <c r="Q22" s="81">
        <v>0.11</v>
      </c>
      <c r="R22" s="81">
        <v>0</v>
      </c>
      <c r="S22" s="10"/>
      <c r="T22" s="81">
        <v>0</v>
      </c>
      <c r="U22" s="81">
        <v>0</v>
      </c>
      <c r="V22" s="10"/>
      <c r="W22" s="81">
        <v>764.96</v>
      </c>
      <c r="X22" s="81">
        <v>0</v>
      </c>
      <c r="Y22" s="81">
        <v>764.96</v>
      </c>
      <c r="Z22" s="10"/>
      <c r="AA22" s="81">
        <f t="shared" si="0"/>
        <v>8692.26</v>
      </c>
      <c r="AB22" s="10"/>
      <c r="AC22" s="219">
        <f t="shared" si="1"/>
        <v>8404.23</v>
      </c>
      <c r="AD22" s="219">
        <f t="shared" si="2"/>
        <v>0.11</v>
      </c>
      <c r="AE22" s="219">
        <f t="shared" si="3"/>
        <v>8404.119999999999</v>
      </c>
      <c r="AF22" s="219">
        <f t="shared" si="4"/>
        <v>288.14</v>
      </c>
      <c r="AG22" s="219">
        <f t="shared" si="5"/>
        <v>0</v>
      </c>
      <c r="AH22" s="219"/>
    </row>
    <row r="23" spans="1:34" x14ac:dyDescent="0.2">
      <c r="A23" s="376">
        <v>11350</v>
      </c>
      <c r="B23" s="376" t="s">
        <v>154</v>
      </c>
      <c r="C23" s="376" t="s">
        <v>131</v>
      </c>
      <c r="D23" s="404" t="s">
        <v>5</v>
      </c>
      <c r="E23" s="113"/>
      <c r="F23" s="81">
        <v>5458.77</v>
      </c>
      <c r="G23" s="81">
        <v>0</v>
      </c>
      <c r="H23" s="81">
        <v>5458.77</v>
      </c>
      <c r="I23" s="10"/>
      <c r="J23" s="81">
        <v>13.16</v>
      </c>
      <c r="K23" s="81">
        <v>0</v>
      </c>
      <c r="L23" s="128"/>
      <c r="M23" s="81">
        <v>0</v>
      </c>
      <c r="N23" s="81">
        <v>0</v>
      </c>
      <c r="O23" s="10"/>
      <c r="P23" s="81">
        <v>3961.8399999999997</v>
      </c>
      <c r="Q23" s="81">
        <v>69.259999999999891</v>
      </c>
      <c r="R23" s="81">
        <v>3892.58</v>
      </c>
      <c r="S23" s="10"/>
      <c r="T23" s="81">
        <v>0</v>
      </c>
      <c r="U23" s="81">
        <v>0</v>
      </c>
      <c r="V23" s="10"/>
      <c r="W23" s="81">
        <v>257.99</v>
      </c>
      <c r="X23" s="81">
        <v>0</v>
      </c>
      <c r="Y23" s="81">
        <v>257.99</v>
      </c>
      <c r="Z23" s="10"/>
      <c r="AA23" s="81">
        <f t="shared" si="0"/>
        <v>9622.5</v>
      </c>
      <c r="AB23" s="10"/>
      <c r="AC23" s="219">
        <f t="shared" si="1"/>
        <v>9678.6</v>
      </c>
      <c r="AD23" s="219">
        <f t="shared" si="2"/>
        <v>69.259999999999891</v>
      </c>
      <c r="AE23" s="219">
        <f t="shared" si="3"/>
        <v>9609.34</v>
      </c>
      <c r="AF23" s="219">
        <f t="shared" si="4"/>
        <v>13.16</v>
      </c>
      <c r="AG23" s="219">
        <f t="shared" si="5"/>
        <v>0</v>
      </c>
      <c r="AH23" s="219"/>
    </row>
    <row r="24" spans="1:34" x14ac:dyDescent="0.2">
      <c r="A24" s="376">
        <v>11400</v>
      </c>
      <c r="B24" s="376" t="s">
        <v>155</v>
      </c>
      <c r="C24" s="376" t="s">
        <v>293</v>
      </c>
      <c r="D24" s="404" t="s">
        <v>2</v>
      </c>
      <c r="E24" s="113"/>
      <c r="F24" s="81">
        <v>2005.14</v>
      </c>
      <c r="G24" s="81">
        <v>0</v>
      </c>
      <c r="H24" s="81">
        <v>2005.14</v>
      </c>
      <c r="I24" s="10"/>
      <c r="J24" s="81">
        <v>50.58</v>
      </c>
      <c r="K24" s="81">
        <v>0</v>
      </c>
      <c r="L24" s="128"/>
      <c r="M24" s="81">
        <v>0</v>
      </c>
      <c r="N24" s="81">
        <v>0</v>
      </c>
      <c r="O24" s="10"/>
      <c r="P24" s="81">
        <v>5705.73</v>
      </c>
      <c r="Q24" s="81">
        <v>0</v>
      </c>
      <c r="R24" s="81">
        <v>5705.73</v>
      </c>
      <c r="S24" s="10"/>
      <c r="T24" s="81">
        <v>0</v>
      </c>
      <c r="U24" s="81">
        <v>0</v>
      </c>
      <c r="V24" s="10"/>
      <c r="W24" s="81">
        <v>61</v>
      </c>
      <c r="X24" s="81">
        <v>0</v>
      </c>
      <c r="Y24" s="81">
        <v>61</v>
      </c>
      <c r="Z24" s="10"/>
      <c r="AA24" s="81">
        <f t="shared" si="0"/>
        <v>7822.45</v>
      </c>
      <c r="AB24" s="10"/>
      <c r="AC24" s="219">
        <f t="shared" si="1"/>
        <v>7771.87</v>
      </c>
      <c r="AD24" s="219">
        <f t="shared" si="2"/>
        <v>0</v>
      </c>
      <c r="AE24" s="219">
        <f t="shared" si="3"/>
        <v>7771.87</v>
      </c>
      <c r="AF24" s="219">
        <f t="shared" si="4"/>
        <v>50.58</v>
      </c>
      <c r="AG24" s="219">
        <f t="shared" si="5"/>
        <v>0</v>
      </c>
      <c r="AH24" s="219"/>
    </row>
    <row r="25" spans="1:34" x14ac:dyDescent="0.2">
      <c r="A25" s="376">
        <v>11450</v>
      </c>
      <c r="B25" s="376" t="s">
        <v>157</v>
      </c>
      <c r="C25" s="376" t="s">
        <v>156</v>
      </c>
      <c r="D25" s="404" t="s">
        <v>4</v>
      </c>
      <c r="E25" s="113"/>
      <c r="F25" s="81">
        <v>17342</v>
      </c>
      <c r="G25" s="81">
        <v>0</v>
      </c>
      <c r="H25" s="81">
        <v>17342</v>
      </c>
      <c r="I25" s="10"/>
      <c r="J25" s="81">
        <v>874.91</v>
      </c>
      <c r="K25" s="81">
        <v>18.66</v>
      </c>
      <c r="L25" s="128"/>
      <c r="M25" s="81">
        <v>0</v>
      </c>
      <c r="N25" s="81">
        <v>0</v>
      </c>
      <c r="O25" s="10"/>
      <c r="P25" s="81">
        <v>36.769999999999996</v>
      </c>
      <c r="Q25" s="81">
        <v>36.769999999999996</v>
      </c>
      <c r="R25" s="81">
        <v>0</v>
      </c>
      <c r="S25" s="10"/>
      <c r="T25" s="81">
        <v>0</v>
      </c>
      <c r="U25" s="81">
        <v>0</v>
      </c>
      <c r="V25" s="10"/>
      <c r="W25" s="81">
        <v>2582</v>
      </c>
      <c r="X25" s="81">
        <v>0</v>
      </c>
      <c r="Y25" s="81">
        <v>2582</v>
      </c>
      <c r="Z25" s="10"/>
      <c r="AA25" s="81">
        <f t="shared" si="0"/>
        <v>20817.57</v>
      </c>
      <c r="AB25" s="10"/>
      <c r="AC25" s="219">
        <f t="shared" si="1"/>
        <v>19960.77</v>
      </c>
      <c r="AD25" s="219">
        <f t="shared" si="2"/>
        <v>36.769999999999996</v>
      </c>
      <c r="AE25" s="219">
        <f t="shared" si="3"/>
        <v>19924</v>
      </c>
      <c r="AF25" s="219">
        <f t="shared" si="4"/>
        <v>874.91</v>
      </c>
      <c r="AG25" s="219">
        <f t="shared" si="5"/>
        <v>18.66</v>
      </c>
      <c r="AH25" s="219"/>
    </row>
    <row r="26" spans="1:34" x14ac:dyDescent="0.2">
      <c r="A26" s="376">
        <v>11500</v>
      </c>
      <c r="B26" s="376" t="s">
        <v>158</v>
      </c>
      <c r="C26" s="376" t="s">
        <v>156</v>
      </c>
      <c r="D26" s="404" t="s">
        <v>4</v>
      </c>
      <c r="E26" s="113"/>
      <c r="F26" s="81">
        <v>33650</v>
      </c>
      <c r="G26" s="81">
        <v>0</v>
      </c>
      <c r="H26" s="81">
        <v>33650</v>
      </c>
      <c r="I26" s="10"/>
      <c r="J26" s="81">
        <v>1692</v>
      </c>
      <c r="K26" s="81">
        <v>832</v>
      </c>
      <c r="L26" s="128"/>
      <c r="M26" s="81">
        <v>0</v>
      </c>
      <c r="N26" s="81">
        <v>0</v>
      </c>
      <c r="O26" s="10"/>
      <c r="P26" s="81">
        <v>0</v>
      </c>
      <c r="Q26" s="81">
        <v>0</v>
      </c>
      <c r="R26" s="81">
        <v>0</v>
      </c>
      <c r="S26" s="10"/>
      <c r="T26" s="81">
        <v>1350</v>
      </c>
      <c r="U26" s="81">
        <v>805</v>
      </c>
      <c r="V26" s="10"/>
      <c r="W26" s="81">
        <v>4500</v>
      </c>
      <c r="X26" s="81">
        <v>0</v>
      </c>
      <c r="Y26" s="81">
        <v>4500</v>
      </c>
      <c r="Z26" s="10"/>
      <c r="AA26" s="81">
        <f t="shared" si="0"/>
        <v>42829</v>
      </c>
      <c r="AB26" s="10"/>
      <c r="AC26" s="219">
        <f t="shared" si="1"/>
        <v>38150</v>
      </c>
      <c r="AD26" s="219">
        <f t="shared" si="2"/>
        <v>0</v>
      </c>
      <c r="AE26" s="219">
        <f t="shared" si="3"/>
        <v>38150</v>
      </c>
      <c r="AF26" s="219">
        <f t="shared" si="4"/>
        <v>3042</v>
      </c>
      <c r="AG26" s="219">
        <f t="shared" si="5"/>
        <v>1637</v>
      </c>
      <c r="AH26" s="219"/>
    </row>
    <row r="27" spans="1:34" x14ac:dyDescent="0.2">
      <c r="A27" s="376">
        <v>11520</v>
      </c>
      <c r="B27" s="376" t="s">
        <v>159</v>
      </c>
      <c r="C27" s="376" t="s">
        <v>127</v>
      </c>
      <c r="D27" s="404" t="s">
        <v>4</v>
      </c>
      <c r="E27" s="113"/>
      <c r="F27" s="81">
        <v>18431</v>
      </c>
      <c r="G27" s="81">
        <v>0</v>
      </c>
      <c r="H27" s="81">
        <v>18431</v>
      </c>
      <c r="I27" s="10"/>
      <c r="J27" s="81">
        <v>395</v>
      </c>
      <c r="K27" s="81">
        <v>0</v>
      </c>
      <c r="L27" s="128"/>
      <c r="M27" s="81">
        <v>0</v>
      </c>
      <c r="N27" s="81">
        <v>0</v>
      </c>
      <c r="O27" s="10"/>
      <c r="P27" s="81">
        <v>1</v>
      </c>
      <c r="Q27" s="81">
        <v>1</v>
      </c>
      <c r="R27" s="81">
        <v>0</v>
      </c>
      <c r="S27" s="10"/>
      <c r="T27" s="81">
        <v>0</v>
      </c>
      <c r="U27" s="81">
        <v>0</v>
      </c>
      <c r="V27" s="10"/>
      <c r="W27" s="81">
        <v>2320</v>
      </c>
      <c r="X27" s="81">
        <v>348</v>
      </c>
      <c r="Y27" s="81">
        <v>1972</v>
      </c>
      <c r="Z27" s="10"/>
      <c r="AA27" s="81">
        <f t="shared" si="0"/>
        <v>20798</v>
      </c>
      <c r="AB27" s="10"/>
      <c r="AC27" s="219">
        <f t="shared" si="1"/>
        <v>20752</v>
      </c>
      <c r="AD27" s="219">
        <f t="shared" si="2"/>
        <v>349</v>
      </c>
      <c r="AE27" s="219">
        <f t="shared" si="3"/>
        <v>20403</v>
      </c>
      <c r="AF27" s="219">
        <f t="shared" si="4"/>
        <v>395</v>
      </c>
      <c r="AG27" s="219">
        <f t="shared" si="5"/>
        <v>0</v>
      </c>
      <c r="AH27" s="219"/>
    </row>
    <row r="28" spans="1:34" x14ac:dyDescent="0.2">
      <c r="A28" s="376">
        <v>11570</v>
      </c>
      <c r="B28" s="376" t="s">
        <v>134</v>
      </c>
      <c r="C28" s="376" t="s">
        <v>127</v>
      </c>
      <c r="D28" s="404" t="s">
        <v>4</v>
      </c>
      <c r="E28" s="113"/>
      <c r="F28" s="81">
        <v>79956</v>
      </c>
      <c r="G28" s="81">
        <v>0</v>
      </c>
      <c r="H28" s="81">
        <v>79956</v>
      </c>
      <c r="I28" s="10"/>
      <c r="J28" s="81">
        <v>3931.16</v>
      </c>
      <c r="K28" s="81">
        <v>1513</v>
      </c>
      <c r="L28" s="128"/>
      <c r="M28" s="81">
        <v>0</v>
      </c>
      <c r="N28" s="81">
        <v>0</v>
      </c>
      <c r="O28" s="10"/>
      <c r="P28" s="81">
        <v>42.23</v>
      </c>
      <c r="Q28" s="81">
        <v>42.23</v>
      </c>
      <c r="R28" s="81">
        <v>0</v>
      </c>
      <c r="S28" s="10"/>
      <c r="T28" s="81">
        <v>0</v>
      </c>
      <c r="U28" s="81">
        <v>0</v>
      </c>
      <c r="V28" s="10"/>
      <c r="W28" s="81">
        <v>10927</v>
      </c>
      <c r="X28" s="81">
        <v>3145.4399999999996</v>
      </c>
      <c r="Y28" s="81">
        <v>7781.56</v>
      </c>
      <c r="Z28" s="10"/>
      <c r="AA28" s="81">
        <f t="shared" si="0"/>
        <v>93181.72</v>
      </c>
      <c r="AB28" s="10"/>
      <c r="AC28" s="219">
        <f t="shared" si="1"/>
        <v>90925.23</v>
      </c>
      <c r="AD28" s="219">
        <f t="shared" si="2"/>
        <v>3187.6699999999996</v>
      </c>
      <c r="AE28" s="219">
        <f t="shared" si="3"/>
        <v>87737.56</v>
      </c>
      <c r="AF28" s="219">
        <f t="shared" si="4"/>
        <v>3931.16</v>
      </c>
      <c r="AG28" s="219">
        <f t="shared" si="5"/>
        <v>1513</v>
      </c>
      <c r="AH28" s="219"/>
    </row>
    <row r="29" spans="1:34" x14ac:dyDescent="0.2">
      <c r="A29" s="376">
        <v>11600</v>
      </c>
      <c r="B29" s="376" t="s">
        <v>161</v>
      </c>
      <c r="C29" s="376" t="s">
        <v>705</v>
      </c>
      <c r="D29" s="404" t="s">
        <v>2</v>
      </c>
      <c r="E29" s="113"/>
      <c r="F29" s="81">
        <v>1152.28</v>
      </c>
      <c r="G29" s="81">
        <v>0</v>
      </c>
      <c r="H29" s="81">
        <v>1152.28</v>
      </c>
      <c r="I29" s="10"/>
      <c r="J29" s="81">
        <v>0</v>
      </c>
      <c r="K29" s="81">
        <v>0</v>
      </c>
      <c r="L29" s="128"/>
      <c r="M29" s="81">
        <v>0</v>
      </c>
      <c r="N29" s="81">
        <v>0</v>
      </c>
      <c r="O29" s="10"/>
      <c r="P29" s="81">
        <v>0</v>
      </c>
      <c r="Q29" s="81">
        <v>0</v>
      </c>
      <c r="R29" s="81">
        <v>0</v>
      </c>
      <c r="S29" s="10"/>
      <c r="T29" s="81">
        <v>0</v>
      </c>
      <c r="U29" s="81">
        <v>0</v>
      </c>
      <c r="V29" s="10"/>
      <c r="W29" s="81">
        <v>0</v>
      </c>
      <c r="X29" s="81">
        <v>0</v>
      </c>
      <c r="Y29" s="81">
        <v>0</v>
      </c>
      <c r="Z29" s="10"/>
      <c r="AA29" s="81">
        <f t="shared" si="0"/>
        <v>1152.28</v>
      </c>
      <c r="AB29" s="10"/>
      <c r="AC29" s="219">
        <f t="shared" si="1"/>
        <v>1152.28</v>
      </c>
      <c r="AD29" s="219">
        <f t="shared" si="2"/>
        <v>0</v>
      </c>
      <c r="AE29" s="219">
        <f t="shared" si="3"/>
        <v>1152.28</v>
      </c>
      <c r="AF29" s="219">
        <f t="shared" si="4"/>
        <v>0</v>
      </c>
      <c r="AG29" s="219">
        <f t="shared" si="5"/>
        <v>0</v>
      </c>
      <c r="AH29" s="219"/>
    </row>
    <row r="30" spans="1:34" x14ac:dyDescent="0.2">
      <c r="A30" s="376">
        <v>11650</v>
      </c>
      <c r="B30" s="376" t="s">
        <v>181</v>
      </c>
      <c r="C30" s="376" t="s">
        <v>163</v>
      </c>
      <c r="D30" s="404" t="s">
        <v>3</v>
      </c>
      <c r="E30" s="113"/>
      <c r="F30" s="81">
        <v>76118</v>
      </c>
      <c r="G30" s="81">
        <v>0</v>
      </c>
      <c r="H30" s="81">
        <v>76118</v>
      </c>
      <c r="I30" s="10"/>
      <c r="J30" s="81">
        <v>3082</v>
      </c>
      <c r="K30" s="81">
        <v>406</v>
      </c>
      <c r="L30" s="128"/>
      <c r="M30" s="81">
        <v>21</v>
      </c>
      <c r="N30" s="81">
        <v>0</v>
      </c>
      <c r="O30" s="10"/>
      <c r="P30" s="81">
        <v>10132</v>
      </c>
      <c r="Q30" s="81">
        <v>149</v>
      </c>
      <c r="R30" s="81">
        <v>9983</v>
      </c>
      <c r="S30" s="10"/>
      <c r="T30" s="81">
        <v>0</v>
      </c>
      <c r="U30" s="81">
        <v>3910</v>
      </c>
      <c r="V30" s="10"/>
      <c r="W30" s="81">
        <v>20563</v>
      </c>
      <c r="X30" s="81">
        <v>3228</v>
      </c>
      <c r="Y30" s="81">
        <v>17335</v>
      </c>
      <c r="Z30" s="10"/>
      <c r="AA30" s="81">
        <f t="shared" si="0"/>
        <v>110855</v>
      </c>
      <c r="AB30" s="10"/>
      <c r="AC30" s="219">
        <f t="shared" si="1"/>
        <v>106813</v>
      </c>
      <c r="AD30" s="219">
        <f t="shared" si="2"/>
        <v>3377</v>
      </c>
      <c r="AE30" s="219">
        <f t="shared" si="3"/>
        <v>103436</v>
      </c>
      <c r="AF30" s="219">
        <f t="shared" si="4"/>
        <v>3103</v>
      </c>
      <c r="AG30" s="219">
        <f t="shared" si="5"/>
        <v>4316</v>
      </c>
      <c r="AH30" s="219"/>
    </row>
    <row r="31" spans="1:34" ht="12" customHeight="1" x14ac:dyDescent="0.2">
      <c r="A31" s="376">
        <v>11700</v>
      </c>
      <c r="B31" s="376" t="s">
        <v>162</v>
      </c>
      <c r="C31" s="376" t="s">
        <v>293</v>
      </c>
      <c r="D31" s="404" t="s">
        <v>2</v>
      </c>
      <c r="E31" s="113"/>
      <c r="F31" s="81">
        <v>480</v>
      </c>
      <c r="G31" s="81">
        <v>0</v>
      </c>
      <c r="H31" s="81">
        <v>480</v>
      </c>
      <c r="I31" s="10"/>
      <c r="J31" s="81">
        <v>0</v>
      </c>
      <c r="K31" s="81">
        <v>0</v>
      </c>
      <c r="L31" s="128"/>
      <c r="M31" s="81">
        <v>0</v>
      </c>
      <c r="N31" s="81">
        <v>0</v>
      </c>
      <c r="O31" s="10"/>
      <c r="P31" s="81">
        <v>0</v>
      </c>
      <c r="Q31" s="81">
        <v>0</v>
      </c>
      <c r="R31" s="81">
        <v>0</v>
      </c>
      <c r="S31" s="10"/>
      <c r="T31" s="81">
        <v>0</v>
      </c>
      <c r="U31" s="81">
        <v>0</v>
      </c>
      <c r="V31" s="10"/>
      <c r="W31" s="81">
        <v>0</v>
      </c>
      <c r="X31" s="81">
        <v>0</v>
      </c>
      <c r="Y31" s="81">
        <v>0</v>
      </c>
      <c r="Z31" s="10"/>
      <c r="AA31" s="81">
        <f t="shared" si="0"/>
        <v>480</v>
      </c>
      <c r="AB31" s="10"/>
      <c r="AC31" s="219">
        <f t="shared" si="1"/>
        <v>480</v>
      </c>
      <c r="AD31" s="219">
        <f t="shared" si="2"/>
        <v>0</v>
      </c>
      <c r="AE31" s="219">
        <f t="shared" si="3"/>
        <v>480</v>
      </c>
      <c r="AF31" s="219">
        <f t="shared" si="4"/>
        <v>0</v>
      </c>
      <c r="AG31" s="219">
        <f t="shared" si="5"/>
        <v>0</v>
      </c>
      <c r="AH31" s="219"/>
    </row>
    <row r="32" spans="1:34" x14ac:dyDescent="0.2">
      <c r="A32" s="376">
        <v>11720</v>
      </c>
      <c r="B32" s="376" t="s">
        <v>164</v>
      </c>
      <c r="C32" s="376" t="s">
        <v>163</v>
      </c>
      <c r="D32" s="404" t="s">
        <v>3</v>
      </c>
      <c r="E32" s="113"/>
      <c r="F32" s="81">
        <v>16572.93</v>
      </c>
      <c r="G32" s="81">
        <v>0</v>
      </c>
      <c r="H32" s="81">
        <v>16572.93</v>
      </c>
      <c r="I32" s="10"/>
      <c r="J32" s="81">
        <v>106.63</v>
      </c>
      <c r="K32" s="81">
        <v>3.12</v>
      </c>
      <c r="L32" s="128"/>
      <c r="M32" s="81">
        <v>0</v>
      </c>
      <c r="N32" s="81">
        <v>0</v>
      </c>
      <c r="O32" s="10"/>
      <c r="P32" s="81">
        <v>9481.35</v>
      </c>
      <c r="Q32" s="81">
        <v>56.35</v>
      </c>
      <c r="R32" s="81">
        <v>9425</v>
      </c>
      <c r="S32" s="10"/>
      <c r="T32" s="81">
        <v>0</v>
      </c>
      <c r="U32" s="81">
        <v>0</v>
      </c>
      <c r="V32" s="10"/>
      <c r="W32" s="81">
        <v>0</v>
      </c>
      <c r="X32" s="81">
        <v>0</v>
      </c>
      <c r="Y32" s="81">
        <v>0</v>
      </c>
      <c r="Z32" s="10"/>
      <c r="AA32" s="81">
        <f t="shared" si="0"/>
        <v>26107.68</v>
      </c>
      <c r="AB32" s="10"/>
      <c r="AC32" s="219">
        <f t="shared" si="1"/>
        <v>26054.28</v>
      </c>
      <c r="AD32" s="219">
        <f t="shared" si="2"/>
        <v>56.35</v>
      </c>
      <c r="AE32" s="219">
        <f t="shared" si="3"/>
        <v>25997.93</v>
      </c>
      <c r="AF32" s="219">
        <f t="shared" si="4"/>
        <v>106.63</v>
      </c>
      <c r="AG32" s="219">
        <f t="shared" si="5"/>
        <v>3.12</v>
      </c>
      <c r="AH32" s="219"/>
    </row>
    <row r="33" spans="1:34" x14ac:dyDescent="0.2">
      <c r="A33" s="376">
        <v>11730</v>
      </c>
      <c r="B33" s="376" t="s">
        <v>165</v>
      </c>
      <c r="C33" s="376" t="s">
        <v>131</v>
      </c>
      <c r="D33" s="404" t="s">
        <v>5</v>
      </c>
      <c r="E33" s="113"/>
      <c r="F33" s="81">
        <v>7713</v>
      </c>
      <c r="G33" s="81">
        <v>0</v>
      </c>
      <c r="H33" s="81">
        <v>7713</v>
      </c>
      <c r="I33" s="10"/>
      <c r="J33" s="81">
        <v>202</v>
      </c>
      <c r="K33" s="81">
        <v>41</v>
      </c>
      <c r="L33" s="128"/>
      <c r="M33" s="81">
        <v>0</v>
      </c>
      <c r="N33" s="81">
        <v>0</v>
      </c>
      <c r="O33" s="10"/>
      <c r="P33" s="81">
        <v>2859</v>
      </c>
      <c r="Q33" s="81">
        <v>31</v>
      </c>
      <c r="R33" s="81">
        <v>2828</v>
      </c>
      <c r="S33" s="10"/>
      <c r="T33" s="81">
        <v>0</v>
      </c>
      <c r="U33" s="81">
        <v>0</v>
      </c>
      <c r="V33" s="10"/>
      <c r="W33" s="81">
        <v>1230</v>
      </c>
      <c r="X33" s="81">
        <v>246</v>
      </c>
      <c r="Y33" s="81">
        <v>984</v>
      </c>
      <c r="Z33" s="10"/>
      <c r="AA33" s="81">
        <f t="shared" si="0"/>
        <v>11768</v>
      </c>
      <c r="AB33" s="10"/>
      <c r="AC33" s="219">
        <f t="shared" si="1"/>
        <v>11802</v>
      </c>
      <c r="AD33" s="219">
        <f t="shared" si="2"/>
        <v>277</v>
      </c>
      <c r="AE33" s="219">
        <f t="shared" si="3"/>
        <v>11525</v>
      </c>
      <c r="AF33" s="219">
        <f t="shared" si="4"/>
        <v>202</v>
      </c>
      <c r="AG33" s="219">
        <f t="shared" si="5"/>
        <v>41</v>
      </c>
      <c r="AH33" s="219"/>
    </row>
    <row r="34" spans="1:34" x14ac:dyDescent="0.2">
      <c r="A34" s="376">
        <v>11750</v>
      </c>
      <c r="B34" s="376" t="s">
        <v>166</v>
      </c>
      <c r="C34" s="376" t="s">
        <v>293</v>
      </c>
      <c r="D34" s="404" t="s">
        <v>2</v>
      </c>
      <c r="E34" s="113"/>
      <c r="F34" s="81">
        <v>1464.2</v>
      </c>
      <c r="G34" s="81">
        <v>0</v>
      </c>
      <c r="H34" s="81">
        <v>1464.2</v>
      </c>
      <c r="I34" s="10"/>
      <c r="J34" s="81">
        <v>0</v>
      </c>
      <c r="K34" s="81">
        <v>0</v>
      </c>
      <c r="L34" s="128"/>
      <c r="M34" s="81">
        <v>0</v>
      </c>
      <c r="N34" s="81">
        <v>0</v>
      </c>
      <c r="O34" s="10"/>
      <c r="P34" s="81">
        <v>0</v>
      </c>
      <c r="Q34" s="81">
        <v>0</v>
      </c>
      <c r="R34" s="81">
        <v>0</v>
      </c>
      <c r="S34" s="10"/>
      <c r="T34" s="81">
        <v>0</v>
      </c>
      <c r="U34" s="81">
        <v>0</v>
      </c>
      <c r="V34" s="10"/>
      <c r="W34" s="81">
        <v>0</v>
      </c>
      <c r="X34" s="81">
        <v>0</v>
      </c>
      <c r="Y34" s="81">
        <v>0</v>
      </c>
      <c r="Z34" s="10"/>
      <c r="AA34" s="81">
        <f t="shared" si="0"/>
        <v>1464.2</v>
      </c>
      <c r="AB34" s="10"/>
      <c r="AC34" s="219">
        <f t="shared" si="1"/>
        <v>1464.2</v>
      </c>
      <c r="AD34" s="219">
        <f t="shared" si="2"/>
        <v>0</v>
      </c>
      <c r="AE34" s="219">
        <f t="shared" si="3"/>
        <v>1464.2</v>
      </c>
      <c r="AF34" s="219">
        <f t="shared" si="4"/>
        <v>0</v>
      </c>
      <c r="AG34" s="219">
        <f t="shared" si="5"/>
        <v>0</v>
      </c>
      <c r="AH34" s="219"/>
    </row>
    <row r="35" spans="1:34" x14ac:dyDescent="0.2">
      <c r="A35" s="376">
        <v>11800</v>
      </c>
      <c r="B35" s="376" t="s">
        <v>167</v>
      </c>
      <c r="C35" s="376" t="s">
        <v>294</v>
      </c>
      <c r="D35" s="404" t="s">
        <v>5</v>
      </c>
      <c r="E35" s="113"/>
      <c r="F35" s="81">
        <v>13249.07</v>
      </c>
      <c r="G35" s="81">
        <v>890.11999999999989</v>
      </c>
      <c r="H35" s="81">
        <v>12358.95</v>
      </c>
      <c r="I35" s="10"/>
      <c r="J35" s="81">
        <v>1265.74</v>
      </c>
      <c r="K35" s="81">
        <v>649.5</v>
      </c>
      <c r="L35" s="128"/>
      <c r="M35" s="81">
        <v>0</v>
      </c>
      <c r="N35" s="81">
        <v>104.94</v>
      </c>
      <c r="O35" s="10"/>
      <c r="P35" s="81">
        <v>3647.15</v>
      </c>
      <c r="Q35" s="81">
        <v>19.88</v>
      </c>
      <c r="R35" s="81">
        <v>3627.27</v>
      </c>
      <c r="S35" s="10"/>
      <c r="T35" s="81">
        <v>0</v>
      </c>
      <c r="U35" s="81">
        <v>0</v>
      </c>
      <c r="V35" s="10"/>
      <c r="W35" s="81">
        <v>2250.38</v>
      </c>
      <c r="X35" s="81">
        <v>0</v>
      </c>
      <c r="Y35" s="81">
        <v>2250.38</v>
      </c>
      <c r="Z35" s="10"/>
      <c r="AA35" s="81">
        <f>H35+J35+K35+M35+N35+R35+T35+U35+Y35</f>
        <v>20256.780000000002</v>
      </c>
      <c r="AB35" s="10"/>
      <c r="AC35" s="219">
        <f t="shared" si="1"/>
        <v>19146.600000000002</v>
      </c>
      <c r="AD35" s="219">
        <f t="shared" si="2"/>
        <v>909.99999999999989</v>
      </c>
      <c r="AE35" s="219">
        <f t="shared" si="3"/>
        <v>18236.600000000002</v>
      </c>
      <c r="AF35" s="219">
        <f t="shared" si="4"/>
        <v>1265.74</v>
      </c>
      <c r="AG35" s="219">
        <f t="shared" si="5"/>
        <v>754.44</v>
      </c>
      <c r="AH35" s="219"/>
    </row>
    <row r="36" spans="1:34" x14ac:dyDescent="0.2">
      <c r="A36" s="376">
        <v>12000</v>
      </c>
      <c r="B36" s="376" t="s">
        <v>169</v>
      </c>
      <c r="C36" s="376" t="s">
        <v>142</v>
      </c>
      <c r="D36" s="404" t="s">
        <v>2</v>
      </c>
      <c r="E36" s="113"/>
      <c r="F36" s="81">
        <v>716</v>
      </c>
      <c r="G36" s="81">
        <v>0</v>
      </c>
      <c r="H36" s="81">
        <v>716</v>
      </c>
      <c r="I36" s="10"/>
      <c r="J36" s="81">
        <v>13.15</v>
      </c>
      <c r="K36" s="81">
        <v>0</v>
      </c>
      <c r="L36" s="128"/>
      <c r="M36" s="81">
        <v>0</v>
      </c>
      <c r="N36" s="81">
        <v>0</v>
      </c>
      <c r="O36" s="10"/>
      <c r="P36" s="81">
        <v>0</v>
      </c>
      <c r="Q36" s="81">
        <v>0</v>
      </c>
      <c r="R36" s="81">
        <v>0</v>
      </c>
      <c r="S36" s="10"/>
      <c r="T36" s="81">
        <v>0</v>
      </c>
      <c r="U36" s="81">
        <v>0</v>
      </c>
      <c r="V36" s="10"/>
      <c r="W36" s="81">
        <v>110</v>
      </c>
      <c r="X36" s="81">
        <v>110</v>
      </c>
      <c r="Y36" s="81">
        <v>0</v>
      </c>
      <c r="Z36" s="10"/>
      <c r="AA36" s="81">
        <f t="shared" si="0"/>
        <v>729.15</v>
      </c>
      <c r="AB36" s="10"/>
      <c r="AC36" s="219">
        <f t="shared" si="1"/>
        <v>826</v>
      </c>
      <c r="AD36" s="219">
        <f t="shared" si="2"/>
        <v>110</v>
      </c>
      <c r="AE36" s="219">
        <f t="shared" si="3"/>
        <v>716</v>
      </c>
      <c r="AF36" s="219">
        <f t="shared" si="4"/>
        <v>13.15</v>
      </c>
      <c r="AG36" s="219">
        <f t="shared" si="5"/>
        <v>0</v>
      </c>
      <c r="AH36" s="219"/>
    </row>
    <row r="37" spans="1:34" x14ac:dyDescent="0.2">
      <c r="A37" s="376">
        <v>12150</v>
      </c>
      <c r="B37" s="376" t="s">
        <v>170</v>
      </c>
      <c r="C37" s="376" t="s">
        <v>293</v>
      </c>
      <c r="D37" s="404" t="s">
        <v>2</v>
      </c>
      <c r="E37" s="113"/>
      <c r="F37" s="81">
        <v>2300</v>
      </c>
      <c r="G37" s="81">
        <v>0</v>
      </c>
      <c r="H37" s="81">
        <v>2300</v>
      </c>
      <c r="I37" s="10"/>
      <c r="J37" s="81">
        <v>0</v>
      </c>
      <c r="K37" s="81">
        <v>0</v>
      </c>
      <c r="L37" s="128"/>
      <c r="M37" s="81">
        <v>0</v>
      </c>
      <c r="N37" s="81">
        <v>0</v>
      </c>
      <c r="O37" s="10"/>
      <c r="P37" s="81">
        <v>0</v>
      </c>
      <c r="Q37" s="81">
        <v>0</v>
      </c>
      <c r="R37" s="81">
        <v>0</v>
      </c>
      <c r="S37" s="10"/>
      <c r="T37" s="81">
        <v>0</v>
      </c>
      <c r="U37" s="81">
        <v>0</v>
      </c>
      <c r="V37" s="10"/>
      <c r="W37" s="81">
        <v>0</v>
      </c>
      <c r="X37" s="81">
        <v>0</v>
      </c>
      <c r="Y37" s="81">
        <v>0</v>
      </c>
      <c r="Z37" s="10"/>
      <c r="AA37" s="81">
        <f t="shared" si="0"/>
        <v>2300</v>
      </c>
      <c r="AB37" s="10"/>
      <c r="AC37" s="219">
        <f t="shared" si="1"/>
        <v>2300</v>
      </c>
      <c r="AD37" s="219">
        <f t="shared" si="2"/>
        <v>0</v>
      </c>
      <c r="AE37" s="219">
        <f t="shared" si="3"/>
        <v>2300</v>
      </c>
      <c r="AF37" s="219">
        <f t="shared" si="4"/>
        <v>0</v>
      </c>
      <c r="AG37" s="219">
        <f t="shared" si="5"/>
        <v>0</v>
      </c>
      <c r="AH37" s="219"/>
    </row>
    <row r="38" spans="1:34" x14ac:dyDescent="0.2">
      <c r="A38" s="376">
        <v>12350</v>
      </c>
      <c r="B38" s="376" t="s">
        <v>172</v>
      </c>
      <c r="C38" s="376" t="s">
        <v>293</v>
      </c>
      <c r="D38" s="404" t="s">
        <v>2</v>
      </c>
      <c r="E38" s="113"/>
      <c r="F38" s="81">
        <v>3028.44</v>
      </c>
      <c r="G38" s="81">
        <v>0</v>
      </c>
      <c r="H38" s="81">
        <v>3028.44</v>
      </c>
      <c r="I38" s="10"/>
      <c r="J38" s="81">
        <v>5</v>
      </c>
      <c r="K38" s="81">
        <v>0</v>
      </c>
      <c r="L38" s="128"/>
      <c r="M38" s="81">
        <v>0.12</v>
      </c>
      <c r="N38" s="81">
        <v>8.7100000000000009</v>
      </c>
      <c r="O38" s="10"/>
      <c r="P38" s="81">
        <v>37.83</v>
      </c>
      <c r="Q38" s="81">
        <v>0</v>
      </c>
      <c r="R38" s="81">
        <v>37.83</v>
      </c>
      <c r="S38" s="10"/>
      <c r="T38" s="81">
        <v>0</v>
      </c>
      <c r="U38" s="81">
        <v>0</v>
      </c>
      <c r="V38" s="10"/>
      <c r="W38" s="81">
        <v>0</v>
      </c>
      <c r="X38" s="81">
        <v>0</v>
      </c>
      <c r="Y38" s="81">
        <v>0</v>
      </c>
      <c r="Z38" s="10"/>
      <c r="AA38" s="81">
        <f t="shared" si="0"/>
        <v>3080.1</v>
      </c>
      <c r="AB38" s="10"/>
      <c r="AC38" s="219">
        <f t="shared" si="1"/>
        <v>3066.27</v>
      </c>
      <c r="AD38" s="219">
        <f t="shared" si="2"/>
        <v>0</v>
      </c>
      <c r="AE38" s="219">
        <f t="shared" si="3"/>
        <v>3066.27</v>
      </c>
      <c r="AF38" s="219">
        <f t="shared" si="4"/>
        <v>5.12</v>
      </c>
      <c r="AG38" s="219">
        <f t="shared" si="5"/>
        <v>8.7100000000000009</v>
      </c>
      <c r="AH38" s="219"/>
    </row>
    <row r="39" spans="1:34" x14ac:dyDescent="0.2">
      <c r="A39" s="376">
        <v>12380</v>
      </c>
      <c r="B39" s="376" t="s">
        <v>130</v>
      </c>
      <c r="C39" s="376" t="s">
        <v>129</v>
      </c>
      <c r="D39" s="404" t="s">
        <v>4</v>
      </c>
      <c r="E39" s="113"/>
      <c r="F39" s="81">
        <v>57700</v>
      </c>
      <c r="G39" s="81">
        <v>23185</v>
      </c>
      <c r="H39" s="81">
        <v>34515</v>
      </c>
      <c r="I39" s="10"/>
      <c r="J39" s="81">
        <v>1298.1199999999999</v>
      </c>
      <c r="K39" s="81">
        <v>0</v>
      </c>
      <c r="L39" s="128"/>
      <c r="M39" s="81">
        <v>0</v>
      </c>
      <c r="N39" s="81">
        <v>0</v>
      </c>
      <c r="O39" s="10"/>
      <c r="P39" s="81">
        <v>54.81</v>
      </c>
      <c r="Q39" s="81">
        <v>54.81</v>
      </c>
      <c r="R39" s="81">
        <v>0</v>
      </c>
      <c r="S39" s="10"/>
      <c r="T39" s="81">
        <v>0</v>
      </c>
      <c r="U39" s="81">
        <v>0</v>
      </c>
      <c r="V39" s="10"/>
      <c r="W39" s="81">
        <v>5961</v>
      </c>
      <c r="X39" s="81">
        <v>2156</v>
      </c>
      <c r="Y39" s="81">
        <v>3805</v>
      </c>
      <c r="Z39" s="10"/>
      <c r="AA39" s="81">
        <f t="shared" si="0"/>
        <v>39618.120000000003</v>
      </c>
      <c r="AB39" s="10"/>
      <c r="AC39" s="219">
        <f t="shared" si="1"/>
        <v>63715.81</v>
      </c>
      <c r="AD39" s="219">
        <f t="shared" si="2"/>
        <v>25395.81</v>
      </c>
      <c r="AE39" s="219">
        <f t="shared" si="3"/>
        <v>38320</v>
      </c>
      <c r="AF39" s="219">
        <f t="shared" si="4"/>
        <v>1298.1199999999999</v>
      </c>
      <c r="AG39" s="219">
        <f t="shared" si="5"/>
        <v>0</v>
      </c>
      <c r="AH39" s="219"/>
    </row>
    <row r="40" spans="1:34" x14ac:dyDescent="0.2">
      <c r="A40" s="376">
        <v>12700</v>
      </c>
      <c r="B40" s="376" t="s">
        <v>174</v>
      </c>
      <c r="C40" s="376" t="s">
        <v>163</v>
      </c>
      <c r="D40" s="404" t="s">
        <v>5</v>
      </c>
      <c r="E40" s="113"/>
      <c r="F40" s="81">
        <v>2091.34</v>
      </c>
      <c r="G40" s="81">
        <v>0</v>
      </c>
      <c r="H40" s="81">
        <v>2091.34</v>
      </c>
      <c r="I40" s="10"/>
      <c r="J40" s="81">
        <v>51.37</v>
      </c>
      <c r="K40" s="81">
        <v>0</v>
      </c>
      <c r="L40" s="128"/>
      <c r="M40" s="81">
        <v>0</v>
      </c>
      <c r="N40" s="81">
        <v>0</v>
      </c>
      <c r="O40" s="10"/>
      <c r="P40" s="81">
        <v>679.25</v>
      </c>
      <c r="Q40" s="81">
        <v>9.1799999999999731</v>
      </c>
      <c r="R40" s="81">
        <v>670.07</v>
      </c>
      <c r="S40" s="10"/>
      <c r="T40" s="81">
        <v>0</v>
      </c>
      <c r="U40" s="81">
        <v>0</v>
      </c>
      <c r="V40" s="10"/>
      <c r="W40" s="81">
        <v>128.16999999999999</v>
      </c>
      <c r="X40" s="81">
        <v>0</v>
      </c>
      <c r="Y40" s="81">
        <v>128.16999999999999</v>
      </c>
      <c r="Z40" s="10"/>
      <c r="AA40" s="81">
        <f t="shared" si="0"/>
        <v>2940.9500000000003</v>
      </c>
      <c r="AB40" s="10"/>
      <c r="AC40" s="219">
        <f t="shared" si="1"/>
        <v>2898.76</v>
      </c>
      <c r="AD40" s="219">
        <f t="shared" si="2"/>
        <v>9.1799999999999731</v>
      </c>
      <c r="AE40" s="219">
        <f t="shared" si="3"/>
        <v>2889.5800000000004</v>
      </c>
      <c r="AF40" s="219">
        <f t="shared" si="4"/>
        <v>51.37</v>
      </c>
      <c r="AG40" s="219">
        <f t="shared" si="5"/>
        <v>0</v>
      </c>
      <c r="AH40" s="219"/>
    </row>
    <row r="41" spans="1:34" x14ac:dyDescent="0.2">
      <c r="A41" s="376">
        <v>12730</v>
      </c>
      <c r="B41" s="376" t="s">
        <v>168</v>
      </c>
      <c r="C41" s="376" t="s">
        <v>703</v>
      </c>
      <c r="D41" s="404" t="s">
        <v>2</v>
      </c>
      <c r="E41" s="113"/>
      <c r="F41" s="81">
        <v>2726.04</v>
      </c>
      <c r="G41" s="81">
        <v>0</v>
      </c>
      <c r="H41" s="81">
        <v>2726.04</v>
      </c>
      <c r="I41" s="10"/>
      <c r="J41" s="81">
        <v>0</v>
      </c>
      <c r="K41" s="81">
        <v>0</v>
      </c>
      <c r="L41" s="128"/>
      <c r="M41" s="81">
        <v>46.57</v>
      </c>
      <c r="N41" s="81">
        <v>9.59</v>
      </c>
      <c r="O41" s="10"/>
      <c r="P41" s="81">
        <v>840.22</v>
      </c>
      <c r="Q41" s="81">
        <v>1</v>
      </c>
      <c r="R41" s="81">
        <v>839.22</v>
      </c>
      <c r="S41" s="10"/>
      <c r="T41" s="81">
        <v>0</v>
      </c>
      <c r="U41" s="81">
        <v>0</v>
      </c>
      <c r="V41" s="10"/>
      <c r="W41" s="81">
        <v>0</v>
      </c>
      <c r="X41" s="81">
        <v>0</v>
      </c>
      <c r="Y41" s="81">
        <v>0</v>
      </c>
      <c r="Z41" s="10"/>
      <c r="AA41" s="81">
        <f t="shared" si="0"/>
        <v>3621.42</v>
      </c>
      <c r="AB41" s="10"/>
      <c r="AC41" s="219">
        <f t="shared" si="1"/>
        <v>3566.26</v>
      </c>
      <c r="AD41" s="219">
        <f t="shared" si="2"/>
        <v>1</v>
      </c>
      <c r="AE41" s="219">
        <f t="shared" si="3"/>
        <v>3565.26</v>
      </c>
      <c r="AF41" s="219">
        <f t="shared" si="4"/>
        <v>46.57</v>
      </c>
      <c r="AG41" s="219">
        <f t="shared" si="5"/>
        <v>9.59</v>
      </c>
      <c r="AH41" s="219"/>
    </row>
    <row r="42" spans="1:34" x14ac:dyDescent="0.2">
      <c r="A42" s="376">
        <v>12750</v>
      </c>
      <c r="B42" s="376" t="s">
        <v>175</v>
      </c>
      <c r="C42" s="376" t="s">
        <v>704</v>
      </c>
      <c r="D42" s="404" t="s">
        <v>2</v>
      </c>
      <c r="E42" s="113"/>
      <c r="F42" s="81">
        <v>6490.56</v>
      </c>
      <c r="G42" s="81">
        <v>0</v>
      </c>
      <c r="H42" s="81">
        <v>6490.56</v>
      </c>
      <c r="I42" s="10"/>
      <c r="J42" s="81">
        <v>426</v>
      </c>
      <c r="K42" s="81">
        <v>6</v>
      </c>
      <c r="L42" s="128"/>
      <c r="M42" s="81">
        <v>0</v>
      </c>
      <c r="N42" s="81">
        <v>0</v>
      </c>
      <c r="O42" s="10"/>
      <c r="P42" s="81">
        <v>2439.3000000000002</v>
      </c>
      <c r="Q42" s="81">
        <v>117</v>
      </c>
      <c r="R42" s="81">
        <v>2322.3000000000002</v>
      </c>
      <c r="S42" s="10"/>
      <c r="T42" s="81">
        <v>0</v>
      </c>
      <c r="U42" s="81">
        <v>0</v>
      </c>
      <c r="V42" s="10"/>
      <c r="W42" s="81">
        <v>499.81</v>
      </c>
      <c r="X42" s="81">
        <v>0</v>
      </c>
      <c r="Y42" s="81">
        <v>499.81</v>
      </c>
      <c r="Z42" s="10"/>
      <c r="AA42" s="81">
        <f t="shared" si="0"/>
        <v>9744.67</v>
      </c>
      <c r="AB42" s="10"/>
      <c r="AC42" s="219">
        <f t="shared" si="1"/>
        <v>9429.67</v>
      </c>
      <c r="AD42" s="219">
        <f t="shared" si="2"/>
        <v>117</v>
      </c>
      <c r="AE42" s="219">
        <f t="shared" si="3"/>
        <v>9312.67</v>
      </c>
      <c r="AF42" s="219">
        <f t="shared" si="4"/>
        <v>426</v>
      </c>
      <c r="AG42" s="219">
        <f t="shared" si="5"/>
        <v>6</v>
      </c>
      <c r="AH42" s="219"/>
    </row>
    <row r="43" spans="1:34" x14ac:dyDescent="0.2">
      <c r="A43" s="376">
        <v>12850</v>
      </c>
      <c r="B43" s="376" t="s">
        <v>176</v>
      </c>
      <c r="C43" s="376" t="s">
        <v>129</v>
      </c>
      <c r="D43" s="404" t="s">
        <v>4</v>
      </c>
      <c r="E43" s="113"/>
      <c r="F43" s="81">
        <v>68099</v>
      </c>
      <c r="G43" s="81">
        <v>37454</v>
      </c>
      <c r="H43" s="81">
        <v>30645</v>
      </c>
      <c r="I43" s="10"/>
      <c r="J43" s="81">
        <v>2227</v>
      </c>
      <c r="K43" s="81">
        <v>0</v>
      </c>
      <c r="L43" s="128"/>
      <c r="M43" s="81">
        <v>0</v>
      </c>
      <c r="N43" s="81">
        <v>419</v>
      </c>
      <c r="O43" s="10"/>
      <c r="P43" s="81">
        <v>0</v>
      </c>
      <c r="Q43" s="81">
        <v>0</v>
      </c>
      <c r="R43" s="81">
        <v>0</v>
      </c>
      <c r="S43" s="10"/>
      <c r="T43" s="81">
        <v>0</v>
      </c>
      <c r="U43" s="81">
        <v>0</v>
      </c>
      <c r="V43" s="10"/>
      <c r="W43" s="81">
        <v>9974.7199999999993</v>
      </c>
      <c r="X43" s="81">
        <v>0</v>
      </c>
      <c r="Y43" s="81">
        <v>9974.7199999999993</v>
      </c>
      <c r="Z43" s="10"/>
      <c r="AA43" s="81">
        <f t="shared" si="0"/>
        <v>43265.72</v>
      </c>
      <c r="AB43" s="10"/>
      <c r="AC43" s="219">
        <f t="shared" si="1"/>
        <v>78073.72</v>
      </c>
      <c r="AD43" s="219">
        <f t="shared" si="2"/>
        <v>37454</v>
      </c>
      <c r="AE43" s="219">
        <f t="shared" si="3"/>
        <v>40619.72</v>
      </c>
      <c r="AF43" s="219">
        <f t="shared" si="4"/>
        <v>2227</v>
      </c>
      <c r="AG43" s="219">
        <f t="shared" si="5"/>
        <v>419</v>
      </c>
      <c r="AH43" s="219"/>
    </row>
    <row r="44" spans="1:34" x14ac:dyDescent="0.2">
      <c r="A44" s="376">
        <v>12870</v>
      </c>
      <c r="B44" s="376" t="s">
        <v>171</v>
      </c>
      <c r="C44" s="376" t="s">
        <v>703</v>
      </c>
      <c r="D44" s="404" t="s">
        <v>2</v>
      </c>
      <c r="E44" s="113"/>
      <c r="F44" s="81">
        <v>2340</v>
      </c>
      <c r="G44" s="81">
        <v>0</v>
      </c>
      <c r="H44" s="81">
        <v>2340</v>
      </c>
      <c r="I44" s="10"/>
      <c r="J44" s="81">
        <v>134</v>
      </c>
      <c r="K44" s="81">
        <v>28.38</v>
      </c>
      <c r="L44" s="128"/>
      <c r="M44" s="81">
        <v>0</v>
      </c>
      <c r="N44" s="81">
        <v>0</v>
      </c>
      <c r="O44" s="10"/>
      <c r="P44" s="81">
        <v>0</v>
      </c>
      <c r="Q44" s="81">
        <v>0</v>
      </c>
      <c r="R44" s="81">
        <v>0</v>
      </c>
      <c r="S44" s="10"/>
      <c r="T44" s="81">
        <v>0</v>
      </c>
      <c r="U44" s="81">
        <v>0</v>
      </c>
      <c r="V44" s="10"/>
      <c r="W44" s="81">
        <v>0</v>
      </c>
      <c r="X44" s="81">
        <v>0</v>
      </c>
      <c r="Y44" s="81">
        <v>0</v>
      </c>
      <c r="Z44" s="10"/>
      <c r="AA44" s="81">
        <f t="shared" si="0"/>
        <v>2502.38</v>
      </c>
      <c r="AB44" s="10"/>
      <c r="AC44" s="219">
        <f t="shared" si="1"/>
        <v>2340</v>
      </c>
      <c r="AD44" s="219">
        <f t="shared" si="2"/>
        <v>0</v>
      </c>
      <c r="AE44" s="219">
        <f t="shared" si="3"/>
        <v>2340</v>
      </c>
      <c r="AF44" s="219">
        <f t="shared" si="4"/>
        <v>134</v>
      </c>
      <c r="AG44" s="219">
        <f t="shared" si="5"/>
        <v>28.38</v>
      </c>
      <c r="AH44" s="219"/>
    </row>
    <row r="45" spans="1:34" x14ac:dyDescent="0.2">
      <c r="A45" s="376">
        <v>12900</v>
      </c>
      <c r="B45" s="376" t="s">
        <v>177</v>
      </c>
      <c r="C45" s="376" t="s">
        <v>293</v>
      </c>
      <c r="D45" s="404" t="s">
        <v>2</v>
      </c>
      <c r="E45" s="113"/>
      <c r="F45" s="81">
        <v>1393.53</v>
      </c>
      <c r="G45" s="81">
        <v>0</v>
      </c>
      <c r="H45" s="81">
        <v>1393.53</v>
      </c>
      <c r="I45" s="10"/>
      <c r="J45" s="81">
        <v>22.55</v>
      </c>
      <c r="K45" s="81">
        <v>0</v>
      </c>
      <c r="L45" s="128"/>
      <c r="M45" s="81">
        <v>0</v>
      </c>
      <c r="N45" s="81">
        <v>0</v>
      </c>
      <c r="O45" s="10"/>
      <c r="P45" s="81">
        <v>10.74</v>
      </c>
      <c r="Q45" s="81">
        <v>11</v>
      </c>
      <c r="R45" s="81">
        <v>0</v>
      </c>
      <c r="S45" s="10"/>
      <c r="T45" s="81">
        <v>0</v>
      </c>
      <c r="U45" s="81">
        <v>0</v>
      </c>
      <c r="V45" s="10"/>
      <c r="W45" s="81">
        <v>4</v>
      </c>
      <c r="X45" s="81">
        <v>0.5</v>
      </c>
      <c r="Y45" s="81">
        <v>3.5</v>
      </c>
      <c r="Z45" s="10"/>
      <c r="AA45" s="81">
        <f t="shared" si="0"/>
        <v>1419.58</v>
      </c>
      <c r="AB45" s="10"/>
      <c r="AC45" s="219">
        <f t="shared" si="1"/>
        <v>1408.27</v>
      </c>
      <c r="AD45" s="219">
        <f t="shared" si="2"/>
        <v>11.5</v>
      </c>
      <c r="AE45" s="219">
        <f t="shared" si="3"/>
        <v>1397.03</v>
      </c>
      <c r="AF45" s="219">
        <f t="shared" si="4"/>
        <v>22.55</v>
      </c>
      <c r="AG45" s="219">
        <f t="shared" si="5"/>
        <v>0</v>
      </c>
      <c r="AH45" s="219"/>
    </row>
    <row r="46" spans="1:34" x14ac:dyDescent="0.2">
      <c r="A46" s="376">
        <v>12930</v>
      </c>
      <c r="B46" s="376" t="s">
        <v>193</v>
      </c>
      <c r="C46" s="376" t="s">
        <v>127</v>
      </c>
      <c r="D46" s="404" t="s">
        <v>4</v>
      </c>
      <c r="E46" s="113"/>
      <c r="F46" s="81">
        <v>34669</v>
      </c>
      <c r="G46" s="81">
        <v>0</v>
      </c>
      <c r="H46" s="81">
        <v>34669</v>
      </c>
      <c r="I46" s="10"/>
      <c r="J46" s="81">
        <v>2314</v>
      </c>
      <c r="K46" s="81">
        <v>119</v>
      </c>
      <c r="L46" s="128"/>
      <c r="M46" s="81">
        <v>0</v>
      </c>
      <c r="N46" s="81">
        <v>0</v>
      </c>
      <c r="O46" s="10"/>
      <c r="P46" s="81">
        <v>55</v>
      </c>
      <c r="Q46" s="81">
        <v>55</v>
      </c>
      <c r="R46" s="81">
        <v>0</v>
      </c>
      <c r="S46" s="10"/>
      <c r="T46" s="81">
        <v>0</v>
      </c>
      <c r="U46" s="81">
        <v>0</v>
      </c>
      <c r="V46" s="10"/>
      <c r="W46" s="81">
        <v>5519</v>
      </c>
      <c r="X46" s="81">
        <v>663</v>
      </c>
      <c r="Y46" s="81">
        <v>4856</v>
      </c>
      <c r="Z46" s="10"/>
      <c r="AA46" s="81">
        <f t="shared" si="0"/>
        <v>41958</v>
      </c>
      <c r="AB46" s="10"/>
      <c r="AC46" s="219">
        <f t="shared" si="1"/>
        <v>40243</v>
      </c>
      <c r="AD46" s="219">
        <f t="shared" si="2"/>
        <v>718</v>
      </c>
      <c r="AE46" s="219">
        <f t="shared" si="3"/>
        <v>39525</v>
      </c>
      <c r="AF46" s="219">
        <f t="shared" si="4"/>
        <v>2314</v>
      </c>
      <c r="AG46" s="219">
        <f t="shared" si="5"/>
        <v>119</v>
      </c>
      <c r="AH46" s="219"/>
    </row>
    <row r="47" spans="1:34" x14ac:dyDescent="0.2">
      <c r="A47" s="376">
        <v>12950</v>
      </c>
      <c r="B47" s="376" t="s">
        <v>178</v>
      </c>
      <c r="C47" s="376" t="s">
        <v>293</v>
      </c>
      <c r="D47" s="404" t="s">
        <v>2</v>
      </c>
      <c r="E47" s="113"/>
      <c r="F47" s="81">
        <v>783</v>
      </c>
      <c r="G47" s="81">
        <v>0</v>
      </c>
      <c r="H47" s="81">
        <v>783</v>
      </c>
      <c r="I47" s="10"/>
      <c r="J47" s="81">
        <v>24.44</v>
      </c>
      <c r="K47" s="81">
        <v>0</v>
      </c>
      <c r="L47" s="128"/>
      <c r="M47" s="81">
        <v>0</v>
      </c>
      <c r="N47" s="81">
        <v>0</v>
      </c>
      <c r="O47" s="10"/>
      <c r="P47" s="81">
        <v>8.26</v>
      </c>
      <c r="Q47" s="81">
        <v>8.26</v>
      </c>
      <c r="R47" s="81">
        <v>0</v>
      </c>
      <c r="S47" s="10"/>
      <c r="T47" s="81">
        <v>0</v>
      </c>
      <c r="U47" s="81">
        <v>0</v>
      </c>
      <c r="V47" s="10"/>
      <c r="W47" s="81">
        <v>0</v>
      </c>
      <c r="X47" s="81">
        <v>0</v>
      </c>
      <c r="Y47" s="81">
        <v>0</v>
      </c>
      <c r="Z47" s="10"/>
      <c r="AA47" s="81">
        <f t="shared" si="0"/>
        <v>807.44</v>
      </c>
      <c r="AB47" s="10"/>
      <c r="AC47" s="219">
        <f t="shared" si="1"/>
        <v>791.26</v>
      </c>
      <c r="AD47" s="219">
        <f t="shared" si="2"/>
        <v>8.26</v>
      </c>
      <c r="AE47" s="219">
        <f t="shared" si="3"/>
        <v>783</v>
      </c>
      <c r="AF47" s="219">
        <f t="shared" si="4"/>
        <v>24.44</v>
      </c>
      <c r="AG47" s="219">
        <f t="shared" si="5"/>
        <v>0</v>
      </c>
      <c r="AH47" s="219"/>
    </row>
    <row r="48" spans="1:34" x14ac:dyDescent="0.2">
      <c r="A48" s="376">
        <v>13010</v>
      </c>
      <c r="B48" s="376" t="s">
        <v>179</v>
      </c>
      <c r="C48" s="376" t="s">
        <v>125</v>
      </c>
      <c r="D48" s="404" t="s">
        <v>2</v>
      </c>
      <c r="E48" s="113"/>
      <c r="F48" s="81">
        <v>1760</v>
      </c>
      <c r="G48" s="81">
        <v>0</v>
      </c>
      <c r="H48" s="81">
        <v>1760</v>
      </c>
      <c r="I48" s="10"/>
      <c r="J48" s="81">
        <v>150</v>
      </c>
      <c r="K48" s="81">
        <v>0</v>
      </c>
      <c r="L48" s="128"/>
      <c r="M48" s="81">
        <v>0</v>
      </c>
      <c r="N48" s="81">
        <v>0</v>
      </c>
      <c r="O48" s="10"/>
      <c r="P48" s="81">
        <v>570.78</v>
      </c>
      <c r="Q48" s="81">
        <v>12.78</v>
      </c>
      <c r="R48" s="81">
        <v>558</v>
      </c>
      <c r="S48" s="10"/>
      <c r="T48" s="81">
        <v>0</v>
      </c>
      <c r="U48" s="81">
        <v>0</v>
      </c>
      <c r="V48" s="10"/>
      <c r="W48" s="81">
        <v>0</v>
      </c>
      <c r="X48" s="81">
        <v>0</v>
      </c>
      <c r="Y48" s="81">
        <v>0</v>
      </c>
      <c r="Z48" s="10"/>
      <c r="AA48" s="81">
        <f t="shared" si="0"/>
        <v>2468</v>
      </c>
      <c r="AB48" s="10"/>
      <c r="AC48" s="219">
        <f t="shared" si="1"/>
        <v>2330.7799999999997</v>
      </c>
      <c r="AD48" s="219">
        <f t="shared" si="2"/>
        <v>12.78</v>
      </c>
      <c r="AE48" s="219">
        <f t="shared" si="3"/>
        <v>2318</v>
      </c>
      <c r="AF48" s="219">
        <f t="shared" si="4"/>
        <v>150</v>
      </c>
      <c r="AG48" s="219">
        <f t="shared" si="5"/>
        <v>0</v>
      </c>
      <c r="AH48" s="219"/>
    </row>
    <row r="49" spans="1:34" x14ac:dyDescent="0.2">
      <c r="A49" s="376">
        <v>13310</v>
      </c>
      <c r="B49" s="376" t="s">
        <v>182</v>
      </c>
      <c r="C49" s="376" t="s">
        <v>704</v>
      </c>
      <c r="D49" s="404" t="s">
        <v>2</v>
      </c>
      <c r="E49" s="113"/>
      <c r="F49" s="81">
        <v>3873.3</v>
      </c>
      <c r="G49" s="81">
        <v>0</v>
      </c>
      <c r="H49" s="81">
        <v>3873.3</v>
      </c>
      <c r="I49" s="10"/>
      <c r="J49" s="81">
        <v>1222.0999999999999</v>
      </c>
      <c r="K49" s="81">
        <v>0</v>
      </c>
      <c r="L49" s="128"/>
      <c r="M49" s="81">
        <v>281.5</v>
      </c>
      <c r="N49" s="81">
        <v>0</v>
      </c>
      <c r="O49" s="10"/>
      <c r="P49" s="81">
        <v>6451.7199999999993</v>
      </c>
      <c r="Q49" s="81">
        <v>443.56999999999977</v>
      </c>
      <c r="R49" s="81">
        <v>6008.15</v>
      </c>
      <c r="S49" s="10"/>
      <c r="T49" s="81">
        <v>0</v>
      </c>
      <c r="U49" s="81">
        <v>0</v>
      </c>
      <c r="V49" s="10"/>
      <c r="W49" s="81">
        <v>169.06</v>
      </c>
      <c r="X49" s="81">
        <v>0</v>
      </c>
      <c r="Y49" s="81">
        <v>169.06</v>
      </c>
      <c r="Z49" s="10"/>
      <c r="AA49" s="81">
        <f t="shared" si="0"/>
        <v>11554.109999999999</v>
      </c>
      <c r="AB49" s="10"/>
      <c r="AC49" s="219">
        <f t="shared" si="1"/>
        <v>10494.08</v>
      </c>
      <c r="AD49" s="219">
        <f t="shared" si="2"/>
        <v>443.56999999999977</v>
      </c>
      <c r="AE49" s="219">
        <f t="shared" si="3"/>
        <v>10050.51</v>
      </c>
      <c r="AF49" s="219">
        <f t="shared" si="4"/>
        <v>1503.6</v>
      </c>
      <c r="AG49" s="219">
        <f t="shared" si="5"/>
        <v>0</v>
      </c>
      <c r="AH49" s="219"/>
    </row>
    <row r="50" spans="1:34" x14ac:dyDescent="0.2">
      <c r="A50" s="376">
        <v>13340</v>
      </c>
      <c r="B50" s="376" t="s">
        <v>183</v>
      </c>
      <c r="C50" s="376" t="s">
        <v>703</v>
      </c>
      <c r="D50" s="404" t="s">
        <v>2</v>
      </c>
      <c r="E50" s="113"/>
      <c r="F50" s="81">
        <v>2284</v>
      </c>
      <c r="G50" s="81">
        <v>0</v>
      </c>
      <c r="H50" s="81">
        <v>2284</v>
      </c>
      <c r="I50" s="10"/>
      <c r="J50" s="81">
        <v>31.45</v>
      </c>
      <c r="K50" s="81">
        <v>0</v>
      </c>
      <c r="L50" s="128"/>
      <c r="M50" s="81">
        <v>2</v>
      </c>
      <c r="N50" s="81">
        <v>0</v>
      </c>
      <c r="O50" s="10"/>
      <c r="P50" s="81">
        <v>1544</v>
      </c>
      <c r="Q50" s="81">
        <v>144</v>
      </c>
      <c r="R50" s="81">
        <v>1400</v>
      </c>
      <c r="S50" s="10"/>
      <c r="T50" s="81">
        <v>0</v>
      </c>
      <c r="U50" s="81">
        <v>0</v>
      </c>
      <c r="V50" s="10"/>
      <c r="W50" s="81">
        <v>0</v>
      </c>
      <c r="X50" s="81">
        <v>0</v>
      </c>
      <c r="Y50" s="81">
        <v>0</v>
      </c>
      <c r="Z50" s="10"/>
      <c r="AA50" s="81">
        <f t="shared" si="0"/>
        <v>3717.45</v>
      </c>
      <c r="AB50" s="10"/>
      <c r="AC50" s="219">
        <f t="shared" si="1"/>
        <v>3828</v>
      </c>
      <c r="AD50" s="219">
        <f t="shared" si="2"/>
        <v>144</v>
      </c>
      <c r="AE50" s="219">
        <f t="shared" si="3"/>
        <v>3684</v>
      </c>
      <c r="AF50" s="219">
        <f t="shared" si="4"/>
        <v>33.450000000000003</v>
      </c>
      <c r="AG50" s="219">
        <f t="shared" si="5"/>
        <v>0</v>
      </c>
      <c r="AH50" s="219"/>
    </row>
    <row r="51" spans="1:34" x14ac:dyDescent="0.2">
      <c r="A51" s="376">
        <v>13450</v>
      </c>
      <c r="B51" s="376" t="s">
        <v>184</v>
      </c>
      <c r="C51" s="376" t="s">
        <v>705</v>
      </c>
      <c r="D51" s="404" t="s">
        <v>2</v>
      </c>
      <c r="E51" s="113"/>
      <c r="F51" s="81">
        <v>6947.28</v>
      </c>
      <c r="G51" s="81">
        <v>0</v>
      </c>
      <c r="H51" s="81">
        <v>6947.28</v>
      </c>
      <c r="I51" s="10"/>
      <c r="J51" s="81">
        <v>62.52</v>
      </c>
      <c r="K51" s="81">
        <v>0</v>
      </c>
      <c r="L51" s="128"/>
      <c r="M51" s="81">
        <v>0</v>
      </c>
      <c r="N51" s="81">
        <v>139.94</v>
      </c>
      <c r="O51" s="10"/>
      <c r="P51" s="81">
        <v>357.16</v>
      </c>
      <c r="Q51" s="81">
        <v>2.68</v>
      </c>
      <c r="R51" s="81">
        <v>354.48</v>
      </c>
      <c r="S51" s="10"/>
      <c r="T51" s="81">
        <v>0</v>
      </c>
      <c r="U51" s="81">
        <v>0</v>
      </c>
      <c r="V51" s="10"/>
      <c r="W51" s="81">
        <v>0</v>
      </c>
      <c r="X51" s="81">
        <v>0</v>
      </c>
      <c r="Y51" s="81">
        <v>0</v>
      </c>
      <c r="Z51" s="10"/>
      <c r="AA51" s="81">
        <f t="shared" si="0"/>
        <v>7504.2199999999993</v>
      </c>
      <c r="AB51" s="10"/>
      <c r="AC51" s="219">
        <f t="shared" si="1"/>
        <v>7304.44</v>
      </c>
      <c r="AD51" s="219">
        <f t="shared" si="2"/>
        <v>2.68</v>
      </c>
      <c r="AE51" s="219">
        <f t="shared" si="3"/>
        <v>7301.76</v>
      </c>
      <c r="AF51" s="219">
        <f t="shared" si="4"/>
        <v>62.52</v>
      </c>
      <c r="AG51" s="219">
        <f t="shared" si="5"/>
        <v>139.94</v>
      </c>
      <c r="AH51" s="219"/>
    </row>
    <row r="52" spans="1:34" x14ac:dyDescent="0.2">
      <c r="A52" s="376">
        <v>13510</v>
      </c>
      <c r="B52" s="376" t="s">
        <v>295</v>
      </c>
      <c r="C52" s="376" t="s">
        <v>142</v>
      </c>
      <c r="D52" s="404" t="s">
        <v>2</v>
      </c>
      <c r="E52" s="113"/>
      <c r="F52" s="81">
        <v>2251.16</v>
      </c>
      <c r="G52" s="81">
        <v>0</v>
      </c>
      <c r="H52" s="81">
        <v>2251.16</v>
      </c>
      <c r="I52" s="10"/>
      <c r="J52" s="81">
        <v>237.25</v>
      </c>
      <c r="K52" s="81">
        <v>13.5</v>
      </c>
      <c r="L52" s="128"/>
      <c r="M52" s="81">
        <v>254</v>
      </c>
      <c r="N52" s="81">
        <v>26</v>
      </c>
      <c r="O52" s="10"/>
      <c r="P52" s="81">
        <v>1166</v>
      </c>
      <c r="Q52" s="81">
        <v>0</v>
      </c>
      <c r="R52" s="81">
        <v>1166</v>
      </c>
      <c r="S52" s="10"/>
      <c r="T52" s="81">
        <v>0</v>
      </c>
      <c r="U52" s="81">
        <v>0</v>
      </c>
      <c r="V52" s="10"/>
      <c r="W52" s="81">
        <v>0</v>
      </c>
      <c r="X52" s="81">
        <v>0</v>
      </c>
      <c r="Y52" s="81">
        <v>0</v>
      </c>
      <c r="Z52" s="10"/>
      <c r="AA52" s="81">
        <f t="shared" si="0"/>
        <v>3947.91</v>
      </c>
      <c r="AB52" s="10"/>
      <c r="AC52" s="219">
        <f t="shared" si="1"/>
        <v>3417.16</v>
      </c>
      <c r="AD52" s="219">
        <f t="shared" si="2"/>
        <v>0</v>
      </c>
      <c r="AE52" s="219">
        <f t="shared" si="3"/>
        <v>3417.16</v>
      </c>
      <c r="AF52" s="219">
        <f t="shared" si="4"/>
        <v>491.25</v>
      </c>
      <c r="AG52" s="219">
        <f t="shared" si="5"/>
        <v>39.5</v>
      </c>
      <c r="AH52" s="219"/>
    </row>
    <row r="53" spans="1:34" x14ac:dyDescent="0.2">
      <c r="A53" s="376">
        <v>13550</v>
      </c>
      <c r="B53" s="376" t="s">
        <v>185</v>
      </c>
      <c r="C53" s="376" t="s">
        <v>125</v>
      </c>
      <c r="D53" s="404" t="s">
        <v>2</v>
      </c>
      <c r="E53" s="113"/>
      <c r="F53" s="81">
        <v>2484.92</v>
      </c>
      <c r="G53" s="81">
        <v>0</v>
      </c>
      <c r="H53" s="81">
        <v>2484.92</v>
      </c>
      <c r="I53" s="10"/>
      <c r="J53" s="81">
        <v>436.08</v>
      </c>
      <c r="K53" s="81">
        <v>49.62</v>
      </c>
      <c r="L53" s="128"/>
      <c r="M53" s="81">
        <v>0</v>
      </c>
      <c r="N53" s="81">
        <v>10</v>
      </c>
      <c r="O53" s="10"/>
      <c r="P53" s="81">
        <v>879.86</v>
      </c>
      <c r="Q53" s="81">
        <v>136.85999999999999</v>
      </c>
      <c r="R53" s="81">
        <v>743</v>
      </c>
      <c r="S53" s="10"/>
      <c r="T53" s="81">
        <v>0</v>
      </c>
      <c r="U53" s="81">
        <v>0</v>
      </c>
      <c r="V53" s="10"/>
      <c r="W53" s="81">
        <v>0</v>
      </c>
      <c r="X53" s="81">
        <v>0</v>
      </c>
      <c r="Y53" s="81">
        <v>0</v>
      </c>
      <c r="Z53" s="10"/>
      <c r="AA53" s="81">
        <f t="shared" si="0"/>
        <v>3723.62</v>
      </c>
      <c r="AB53" s="10"/>
      <c r="AC53" s="219">
        <f t="shared" si="1"/>
        <v>3364.78</v>
      </c>
      <c r="AD53" s="219">
        <f t="shared" si="2"/>
        <v>136.85999999999999</v>
      </c>
      <c r="AE53" s="219">
        <f t="shared" si="3"/>
        <v>3227.92</v>
      </c>
      <c r="AF53" s="219">
        <f t="shared" si="4"/>
        <v>436.08</v>
      </c>
      <c r="AG53" s="219">
        <f t="shared" si="5"/>
        <v>59.62</v>
      </c>
      <c r="AH53" s="219"/>
    </row>
    <row r="54" spans="1:34" x14ac:dyDescent="0.2">
      <c r="A54" s="376">
        <v>13660</v>
      </c>
      <c r="B54" s="376" t="s">
        <v>186</v>
      </c>
      <c r="C54" s="376" t="s">
        <v>125</v>
      </c>
      <c r="D54" s="404" t="s">
        <v>2</v>
      </c>
      <c r="E54" s="113"/>
      <c r="F54" s="81">
        <v>485.8</v>
      </c>
      <c r="G54" s="81">
        <v>0</v>
      </c>
      <c r="H54" s="81">
        <v>485.8</v>
      </c>
      <c r="I54" s="10"/>
      <c r="J54" s="81">
        <v>11.8</v>
      </c>
      <c r="K54" s="81">
        <v>0</v>
      </c>
      <c r="L54" s="128"/>
      <c r="M54" s="81">
        <v>0</v>
      </c>
      <c r="N54" s="81">
        <v>0</v>
      </c>
      <c r="O54" s="10"/>
      <c r="P54" s="81">
        <v>1367.5</v>
      </c>
      <c r="Q54" s="81">
        <v>256.09999999999997</v>
      </c>
      <c r="R54" s="81">
        <v>1111.4000000000001</v>
      </c>
      <c r="S54" s="10"/>
      <c r="T54" s="81">
        <v>0</v>
      </c>
      <c r="U54" s="81">
        <v>0</v>
      </c>
      <c r="V54" s="10"/>
      <c r="W54" s="81">
        <v>0</v>
      </c>
      <c r="X54" s="81">
        <v>0</v>
      </c>
      <c r="Y54" s="81">
        <v>0</v>
      </c>
      <c r="Z54" s="10"/>
      <c r="AA54" s="81">
        <f t="shared" si="0"/>
        <v>1609</v>
      </c>
      <c r="AB54" s="10"/>
      <c r="AC54" s="219">
        <f t="shared" si="1"/>
        <v>1853.3</v>
      </c>
      <c r="AD54" s="219">
        <f t="shared" si="2"/>
        <v>256.09999999999997</v>
      </c>
      <c r="AE54" s="219">
        <f t="shared" si="3"/>
        <v>1597.2</v>
      </c>
      <c r="AF54" s="219">
        <f t="shared" si="4"/>
        <v>11.8</v>
      </c>
      <c r="AG54" s="219">
        <f t="shared" si="5"/>
        <v>0</v>
      </c>
      <c r="AH54" s="219"/>
    </row>
    <row r="55" spans="1:34" x14ac:dyDescent="0.2">
      <c r="A55" s="376">
        <v>13800</v>
      </c>
      <c r="B55" s="376" t="s">
        <v>188</v>
      </c>
      <c r="C55" s="376" t="s">
        <v>129</v>
      </c>
      <c r="D55" s="404" t="s">
        <v>3</v>
      </c>
      <c r="E55" s="113"/>
      <c r="F55" s="81">
        <v>17902.62</v>
      </c>
      <c r="G55" s="81">
        <v>0</v>
      </c>
      <c r="H55" s="81">
        <v>17902.62</v>
      </c>
      <c r="I55" s="10"/>
      <c r="J55" s="81">
        <v>572</v>
      </c>
      <c r="K55" s="81">
        <v>73.63</v>
      </c>
      <c r="L55" s="128"/>
      <c r="M55" s="81">
        <v>0</v>
      </c>
      <c r="N55" s="81">
        <v>0</v>
      </c>
      <c r="O55" s="10"/>
      <c r="P55" s="81">
        <v>2825.07</v>
      </c>
      <c r="Q55" s="81">
        <v>0</v>
      </c>
      <c r="R55" s="81">
        <v>2825.07</v>
      </c>
      <c r="S55" s="10"/>
      <c r="T55" s="81">
        <v>0</v>
      </c>
      <c r="U55" s="81">
        <v>0</v>
      </c>
      <c r="V55" s="10"/>
      <c r="W55" s="81">
        <v>891</v>
      </c>
      <c r="X55" s="81">
        <v>89.100000000000023</v>
      </c>
      <c r="Y55" s="81">
        <v>801.9</v>
      </c>
      <c r="Z55" s="10"/>
      <c r="AA55" s="81">
        <f t="shared" si="0"/>
        <v>22175.22</v>
      </c>
      <c r="AB55" s="10"/>
      <c r="AC55" s="219">
        <f t="shared" si="1"/>
        <v>21618.69</v>
      </c>
      <c r="AD55" s="219">
        <f t="shared" si="2"/>
        <v>89.100000000000023</v>
      </c>
      <c r="AE55" s="219">
        <f t="shared" si="3"/>
        <v>21529.59</v>
      </c>
      <c r="AF55" s="219">
        <f t="shared" si="4"/>
        <v>572</v>
      </c>
      <c r="AG55" s="219">
        <f t="shared" si="5"/>
        <v>73.63</v>
      </c>
      <c r="AH55" s="219"/>
    </row>
    <row r="56" spans="1:34" x14ac:dyDescent="0.2">
      <c r="A56" s="376">
        <v>13850</v>
      </c>
      <c r="B56" s="376" t="s">
        <v>189</v>
      </c>
      <c r="C56" s="376" t="s">
        <v>705</v>
      </c>
      <c r="D56" s="404" t="s">
        <v>2</v>
      </c>
      <c r="E56" s="113"/>
      <c r="F56" s="81">
        <v>752</v>
      </c>
      <c r="G56" s="81">
        <v>0</v>
      </c>
      <c r="H56" s="81">
        <v>752</v>
      </c>
      <c r="I56" s="10"/>
      <c r="J56" s="81">
        <v>0</v>
      </c>
      <c r="K56" s="81">
        <v>0</v>
      </c>
      <c r="L56" s="128"/>
      <c r="M56" s="81">
        <v>0</v>
      </c>
      <c r="N56" s="81">
        <v>0</v>
      </c>
      <c r="O56" s="10"/>
      <c r="P56" s="81">
        <v>728</v>
      </c>
      <c r="Q56" s="81">
        <v>0</v>
      </c>
      <c r="R56" s="81">
        <v>728</v>
      </c>
      <c r="S56" s="10"/>
      <c r="T56" s="81">
        <v>0</v>
      </c>
      <c r="U56" s="81">
        <v>0</v>
      </c>
      <c r="V56" s="10"/>
      <c r="W56" s="81">
        <v>0</v>
      </c>
      <c r="X56" s="81">
        <v>0</v>
      </c>
      <c r="Y56" s="81">
        <v>0</v>
      </c>
      <c r="Z56" s="10"/>
      <c r="AA56" s="81">
        <f t="shared" si="0"/>
        <v>1480</v>
      </c>
      <c r="AB56" s="10"/>
      <c r="AC56" s="219">
        <f t="shared" si="1"/>
        <v>1480</v>
      </c>
      <c r="AD56" s="219">
        <f t="shared" si="2"/>
        <v>0</v>
      </c>
      <c r="AE56" s="219">
        <f t="shared" si="3"/>
        <v>1480</v>
      </c>
      <c r="AF56" s="219">
        <f t="shared" si="4"/>
        <v>0</v>
      </c>
      <c r="AG56" s="219">
        <f t="shared" si="5"/>
        <v>0</v>
      </c>
      <c r="AH56" s="219"/>
    </row>
    <row r="57" spans="1:34" x14ac:dyDescent="0.2">
      <c r="A57" s="376">
        <v>13910</v>
      </c>
      <c r="B57" s="376" t="s">
        <v>148</v>
      </c>
      <c r="C57" s="376" t="s">
        <v>704</v>
      </c>
      <c r="D57" s="404" t="s">
        <v>2</v>
      </c>
      <c r="E57" s="113"/>
      <c r="F57" s="81">
        <v>3912</v>
      </c>
      <c r="G57" s="81">
        <v>0</v>
      </c>
      <c r="H57" s="81">
        <v>3912</v>
      </c>
      <c r="I57" s="10"/>
      <c r="J57" s="81">
        <v>170</v>
      </c>
      <c r="K57" s="81">
        <v>2</v>
      </c>
      <c r="L57" s="128"/>
      <c r="M57" s="81">
        <v>80</v>
      </c>
      <c r="N57" s="81">
        <v>0</v>
      </c>
      <c r="O57" s="10"/>
      <c r="P57" s="81">
        <v>2702.7</v>
      </c>
      <c r="Q57" s="81">
        <v>0</v>
      </c>
      <c r="R57" s="81">
        <v>2702.7</v>
      </c>
      <c r="S57" s="10"/>
      <c r="T57" s="81">
        <v>0</v>
      </c>
      <c r="U57" s="81">
        <v>0</v>
      </c>
      <c r="V57" s="10"/>
      <c r="W57" s="81">
        <v>0</v>
      </c>
      <c r="X57" s="81">
        <v>0</v>
      </c>
      <c r="Y57" s="81">
        <v>0</v>
      </c>
      <c r="Z57" s="10"/>
      <c r="AA57" s="81">
        <f t="shared" si="0"/>
        <v>6866.7</v>
      </c>
      <c r="AB57" s="10"/>
      <c r="AC57" s="219">
        <f t="shared" si="1"/>
        <v>6614.7</v>
      </c>
      <c r="AD57" s="219">
        <f t="shared" si="2"/>
        <v>0</v>
      </c>
      <c r="AE57" s="219">
        <f t="shared" si="3"/>
        <v>6614.7</v>
      </c>
      <c r="AF57" s="219">
        <f t="shared" si="4"/>
        <v>250</v>
      </c>
      <c r="AG57" s="219">
        <f t="shared" si="5"/>
        <v>2</v>
      </c>
      <c r="AH57" s="219"/>
    </row>
    <row r="58" spans="1:34" x14ac:dyDescent="0.2">
      <c r="A58" s="376">
        <v>14000</v>
      </c>
      <c r="B58" s="376" t="s">
        <v>191</v>
      </c>
      <c r="C58" s="376" t="s">
        <v>190</v>
      </c>
      <c r="D58" s="404" t="s">
        <v>4</v>
      </c>
      <c r="E58" s="113"/>
      <c r="F58" s="81">
        <v>33527.58</v>
      </c>
      <c r="G58" s="81">
        <v>0</v>
      </c>
      <c r="H58" s="81">
        <v>33527.58</v>
      </c>
      <c r="I58" s="10"/>
      <c r="J58" s="81">
        <v>874.29</v>
      </c>
      <c r="K58" s="81">
        <v>0</v>
      </c>
      <c r="L58" s="128"/>
      <c r="M58" s="81">
        <v>0</v>
      </c>
      <c r="N58" s="81">
        <v>0</v>
      </c>
      <c r="O58" s="10"/>
      <c r="P58" s="81">
        <v>6.2</v>
      </c>
      <c r="Q58" s="81">
        <v>6.2</v>
      </c>
      <c r="R58" s="81">
        <v>0</v>
      </c>
      <c r="S58" s="10"/>
      <c r="T58" s="81">
        <v>0</v>
      </c>
      <c r="U58" s="81">
        <v>0</v>
      </c>
      <c r="V58" s="10"/>
      <c r="W58" s="81">
        <v>6939.28</v>
      </c>
      <c r="X58" s="81">
        <v>2081.4499999999998</v>
      </c>
      <c r="Y58" s="81">
        <v>4857.83</v>
      </c>
      <c r="Z58" s="10"/>
      <c r="AA58" s="81">
        <f t="shared" si="0"/>
        <v>39259.700000000004</v>
      </c>
      <c r="AB58" s="10"/>
      <c r="AC58" s="219">
        <f t="shared" si="1"/>
        <v>40473.06</v>
      </c>
      <c r="AD58" s="219">
        <f t="shared" si="2"/>
        <v>2087.6499999999996</v>
      </c>
      <c r="AE58" s="219">
        <f t="shared" si="3"/>
        <v>38385.410000000003</v>
      </c>
      <c r="AF58" s="219">
        <f t="shared" si="4"/>
        <v>874.29</v>
      </c>
      <c r="AG58" s="219">
        <f t="shared" si="5"/>
        <v>0</v>
      </c>
      <c r="AH58" s="219"/>
    </row>
    <row r="59" spans="1:34" x14ac:dyDescent="0.2">
      <c r="A59" s="376">
        <v>14100</v>
      </c>
      <c r="B59" s="376" t="s">
        <v>192</v>
      </c>
      <c r="C59" s="376" t="s">
        <v>190</v>
      </c>
      <c r="D59" s="404" t="s">
        <v>4</v>
      </c>
      <c r="E59" s="113"/>
      <c r="F59" s="81">
        <v>2852</v>
      </c>
      <c r="G59" s="81">
        <v>0</v>
      </c>
      <c r="H59" s="81">
        <v>2852</v>
      </c>
      <c r="I59" s="10"/>
      <c r="J59" s="81">
        <v>37.36</v>
      </c>
      <c r="K59" s="81">
        <v>0</v>
      </c>
      <c r="L59" s="128"/>
      <c r="M59" s="81">
        <v>0</v>
      </c>
      <c r="N59" s="81">
        <v>0</v>
      </c>
      <c r="O59" s="10"/>
      <c r="P59" s="81">
        <v>0</v>
      </c>
      <c r="Q59" s="81">
        <v>0</v>
      </c>
      <c r="R59" s="81">
        <v>0</v>
      </c>
      <c r="S59" s="10"/>
      <c r="T59" s="81">
        <v>0</v>
      </c>
      <c r="U59" s="81">
        <v>0</v>
      </c>
      <c r="V59" s="10"/>
      <c r="W59" s="81">
        <v>198.83</v>
      </c>
      <c r="X59" s="81">
        <v>198.83</v>
      </c>
      <c r="Y59" s="81">
        <v>0</v>
      </c>
      <c r="Z59" s="10"/>
      <c r="AA59" s="81">
        <f t="shared" si="0"/>
        <v>2889.36</v>
      </c>
      <c r="AB59" s="10"/>
      <c r="AC59" s="219">
        <f t="shared" si="1"/>
        <v>3050.83</v>
      </c>
      <c r="AD59" s="219">
        <f t="shared" si="2"/>
        <v>198.83</v>
      </c>
      <c r="AE59" s="219">
        <f t="shared" si="3"/>
        <v>2852</v>
      </c>
      <c r="AF59" s="219">
        <f t="shared" si="4"/>
        <v>37.36</v>
      </c>
      <c r="AG59" s="219">
        <f t="shared" si="5"/>
        <v>0</v>
      </c>
      <c r="AH59" s="219"/>
    </row>
    <row r="60" spans="1:34" x14ac:dyDescent="0.2">
      <c r="A60" s="376">
        <v>14170</v>
      </c>
      <c r="B60" s="376" t="s">
        <v>128</v>
      </c>
      <c r="C60" s="376" t="s">
        <v>127</v>
      </c>
      <c r="D60" s="404" t="s">
        <v>4</v>
      </c>
      <c r="E60" s="113"/>
      <c r="F60" s="81">
        <v>39786.449999999997</v>
      </c>
      <c r="G60" s="81">
        <v>0</v>
      </c>
      <c r="H60" s="81">
        <v>39786.449999999997</v>
      </c>
      <c r="I60" s="10"/>
      <c r="J60" s="81">
        <v>620.94000000000005</v>
      </c>
      <c r="K60" s="81">
        <v>0</v>
      </c>
      <c r="L60" s="128"/>
      <c r="M60" s="81">
        <v>0</v>
      </c>
      <c r="N60" s="81">
        <v>0</v>
      </c>
      <c r="O60" s="10"/>
      <c r="P60" s="81">
        <v>950.5</v>
      </c>
      <c r="Q60" s="81">
        <v>180.49999999999997</v>
      </c>
      <c r="R60" s="81">
        <v>770</v>
      </c>
      <c r="S60" s="10"/>
      <c r="T60" s="81">
        <v>17.399999999999999</v>
      </c>
      <c r="U60" s="81">
        <v>0</v>
      </c>
      <c r="V60" s="10"/>
      <c r="W60" s="81">
        <v>3925.21</v>
      </c>
      <c r="X60" s="81">
        <v>400.42000000000007</v>
      </c>
      <c r="Y60" s="81">
        <v>3524.79</v>
      </c>
      <c r="Z60" s="10"/>
      <c r="AA60" s="81">
        <f t="shared" si="0"/>
        <v>44719.58</v>
      </c>
      <c r="AB60" s="10"/>
      <c r="AC60" s="219">
        <f t="shared" si="1"/>
        <v>44662.159999999996</v>
      </c>
      <c r="AD60" s="219">
        <f t="shared" si="2"/>
        <v>580.92000000000007</v>
      </c>
      <c r="AE60" s="219">
        <f t="shared" si="3"/>
        <v>44081.24</v>
      </c>
      <c r="AF60" s="219">
        <f t="shared" si="4"/>
        <v>638.34</v>
      </c>
      <c r="AG60" s="219">
        <f t="shared" si="5"/>
        <v>0</v>
      </c>
      <c r="AH60" s="219"/>
    </row>
    <row r="61" spans="1:34" x14ac:dyDescent="0.2">
      <c r="A61" s="376">
        <v>14200</v>
      </c>
      <c r="B61" s="376" t="s">
        <v>194</v>
      </c>
      <c r="C61" s="376" t="s">
        <v>125</v>
      </c>
      <c r="D61" s="404" t="s">
        <v>2</v>
      </c>
      <c r="E61" s="113"/>
      <c r="F61" s="81">
        <v>5000</v>
      </c>
      <c r="G61" s="81">
        <v>0</v>
      </c>
      <c r="H61" s="81">
        <v>5000</v>
      </c>
      <c r="I61" s="10"/>
      <c r="J61" s="81">
        <v>0.4</v>
      </c>
      <c r="K61" s="81">
        <v>0</v>
      </c>
      <c r="L61" s="128"/>
      <c r="M61" s="81">
        <v>0</v>
      </c>
      <c r="N61" s="81">
        <v>85</v>
      </c>
      <c r="O61" s="10"/>
      <c r="P61" s="81">
        <v>1643</v>
      </c>
      <c r="Q61" s="81">
        <v>41</v>
      </c>
      <c r="R61" s="81">
        <v>1602</v>
      </c>
      <c r="S61" s="10"/>
      <c r="T61" s="81">
        <v>0</v>
      </c>
      <c r="U61" s="81">
        <v>0</v>
      </c>
      <c r="V61" s="10"/>
      <c r="W61" s="81">
        <v>0</v>
      </c>
      <c r="X61" s="81">
        <v>0</v>
      </c>
      <c r="Y61" s="81">
        <v>0</v>
      </c>
      <c r="Z61" s="10"/>
      <c r="AA61" s="81">
        <f t="shared" si="0"/>
        <v>6687.4</v>
      </c>
      <c r="AB61" s="10"/>
      <c r="AC61" s="219">
        <f t="shared" si="1"/>
        <v>6643</v>
      </c>
      <c r="AD61" s="219">
        <f t="shared" si="2"/>
        <v>41</v>
      </c>
      <c r="AE61" s="219">
        <f t="shared" si="3"/>
        <v>6602</v>
      </c>
      <c r="AF61" s="219">
        <f t="shared" si="4"/>
        <v>0.4</v>
      </c>
      <c r="AG61" s="219">
        <f t="shared" si="5"/>
        <v>85</v>
      </c>
      <c r="AH61" s="219"/>
    </row>
    <row r="62" spans="1:34" x14ac:dyDescent="0.2">
      <c r="A62" s="376">
        <v>14300</v>
      </c>
      <c r="B62" s="376" t="s">
        <v>196</v>
      </c>
      <c r="C62" s="376" t="s">
        <v>142</v>
      </c>
      <c r="D62" s="404" t="s">
        <v>2</v>
      </c>
      <c r="E62" s="113"/>
      <c r="F62" s="81">
        <v>902</v>
      </c>
      <c r="G62" s="81">
        <v>0</v>
      </c>
      <c r="H62" s="81">
        <v>902</v>
      </c>
      <c r="I62" s="10"/>
      <c r="J62" s="81">
        <v>84</v>
      </c>
      <c r="K62" s="81">
        <v>1</v>
      </c>
      <c r="L62" s="128"/>
      <c r="M62" s="81">
        <v>60</v>
      </c>
      <c r="N62" s="81">
        <v>5</v>
      </c>
      <c r="O62" s="10"/>
      <c r="P62" s="81">
        <v>225</v>
      </c>
      <c r="Q62" s="81">
        <v>0</v>
      </c>
      <c r="R62" s="81">
        <v>225</v>
      </c>
      <c r="S62" s="10"/>
      <c r="T62" s="81">
        <v>0</v>
      </c>
      <c r="U62" s="81">
        <v>0</v>
      </c>
      <c r="V62" s="10"/>
      <c r="W62" s="81">
        <v>0</v>
      </c>
      <c r="X62" s="81">
        <v>0</v>
      </c>
      <c r="Y62" s="81">
        <v>0</v>
      </c>
      <c r="Z62" s="10"/>
      <c r="AA62" s="81">
        <f t="shared" si="0"/>
        <v>1277</v>
      </c>
      <c r="AB62" s="10"/>
      <c r="AC62" s="219">
        <f t="shared" si="1"/>
        <v>1127</v>
      </c>
      <c r="AD62" s="219">
        <f t="shared" si="2"/>
        <v>0</v>
      </c>
      <c r="AE62" s="219">
        <f t="shared" si="3"/>
        <v>1127</v>
      </c>
      <c r="AF62" s="219">
        <f t="shared" si="4"/>
        <v>144</v>
      </c>
      <c r="AG62" s="219">
        <f t="shared" si="5"/>
        <v>6</v>
      </c>
      <c r="AH62" s="219"/>
    </row>
    <row r="63" spans="1:34" x14ac:dyDescent="0.2">
      <c r="A63" s="376">
        <v>14350</v>
      </c>
      <c r="B63" s="376" t="s">
        <v>197</v>
      </c>
      <c r="C63" s="376" t="s">
        <v>294</v>
      </c>
      <c r="D63" s="404" t="s">
        <v>5</v>
      </c>
      <c r="E63" s="113"/>
      <c r="F63" s="81">
        <v>6125.65</v>
      </c>
      <c r="G63" s="81">
        <v>0</v>
      </c>
      <c r="H63" s="81">
        <v>6125.65</v>
      </c>
      <c r="I63" s="10"/>
      <c r="J63" s="81">
        <v>208.1</v>
      </c>
      <c r="K63" s="81">
        <v>21.3</v>
      </c>
      <c r="L63" s="128"/>
      <c r="M63" s="81">
        <v>59.3</v>
      </c>
      <c r="N63" s="81">
        <v>0</v>
      </c>
      <c r="O63" s="10"/>
      <c r="P63" s="81">
        <v>5555.2</v>
      </c>
      <c r="Q63" s="81">
        <v>18.2</v>
      </c>
      <c r="R63" s="81">
        <v>5537</v>
      </c>
      <c r="S63" s="10"/>
      <c r="T63" s="81">
        <v>0</v>
      </c>
      <c r="U63" s="81">
        <v>0</v>
      </c>
      <c r="V63" s="10"/>
      <c r="W63" s="81">
        <v>0</v>
      </c>
      <c r="X63" s="81">
        <v>0</v>
      </c>
      <c r="Y63" s="81">
        <v>0</v>
      </c>
      <c r="Z63" s="10"/>
      <c r="AA63" s="81">
        <f t="shared" si="0"/>
        <v>11951.35</v>
      </c>
      <c r="AB63" s="10"/>
      <c r="AC63" s="219">
        <f t="shared" si="1"/>
        <v>11680.849999999999</v>
      </c>
      <c r="AD63" s="219">
        <f t="shared" si="2"/>
        <v>18.2</v>
      </c>
      <c r="AE63" s="219">
        <f t="shared" si="3"/>
        <v>11662.65</v>
      </c>
      <c r="AF63" s="219">
        <f t="shared" si="4"/>
        <v>267.39999999999998</v>
      </c>
      <c r="AG63" s="219">
        <f t="shared" si="5"/>
        <v>21.3</v>
      </c>
      <c r="AH63" s="219"/>
    </row>
    <row r="64" spans="1:34" x14ac:dyDescent="0.2">
      <c r="A64" s="376">
        <v>14400</v>
      </c>
      <c r="B64" s="376" t="s">
        <v>198</v>
      </c>
      <c r="C64" s="376" t="s">
        <v>291</v>
      </c>
      <c r="D64" s="404" t="s">
        <v>3</v>
      </c>
      <c r="E64" s="113"/>
      <c r="F64" s="81">
        <v>2658.52</v>
      </c>
      <c r="G64" s="81">
        <v>0</v>
      </c>
      <c r="H64" s="81">
        <v>2658.52</v>
      </c>
      <c r="I64" s="10"/>
      <c r="J64" s="81">
        <v>123.83</v>
      </c>
      <c r="K64" s="81">
        <v>21.58</v>
      </c>
      <c r="L64" s="128"/>
      <c r="M64" s="81">
        <v>0</v>
      </c>
      <c r="N64" s="81">
        <v>0</v>
      </c>
      <c r="O64" s="10"/>
      <c r="P64" s="81">
        <v>312</v>
      </c>
      <c r="Q64" s="81">
        <v>308.5</v>
      </c>
      <c r="R64" s="81">
        <v>3.5</v>
      </c>
      <c r="S64" s="10"/>
      <c r="T64" s="81">
        <v>0</v>
      </c>
      <c r="U64" s="81">
        <v>0</v>
      </c>
      <c r="V64" s="10"/>
      <c r="W64" s="81">
        <v>629.39</v>
      </c>
      <c r="X64" s="81">
        <v>277.81</v>
      </c>
      <c r="Y64" s="81">
        <v>351.58000000000004</v>
      </c>
      <c r="Z64" s="10"/>
      <c r="AA64" s="81">
        <f t="shared" si="0"/>
        <v>3159.0099999999998</v>
      </c>
      <c r="AB64" s="10"/>
      <c r="AC64" s="219">
        <f t="shared" si="1"/>
        <v>3599.91</v>
      </c>
      <c r="AD64" s="219">
        <f t="shared" si="2"/>
        <v>586.30999999999995</v>
      </c>
      <c r="AE64" s="219">
        <f t="shared" si="3"/>
        <v>3013.6</v>
      </c>
      <c r="AF64" s="219">
        <f t="shared" si="4"/>
        <v>123.83</v>
      </c>
      <c r="AG64" s="219">
        <f t="shared" si="5"/>
        <v>21.58</v>
      </c>
      <c r="AH64" s="219"/>
    </row>
    <row r="65" spans="1:34" x14ac:dyDescent="0.2">
      <c r="A65" s="376">
        <v>14500</v>
      </c>
      <c r="B65" s="376" t="s">
        <v>199</v>
      </c>
      <c r="C65" s="376" t="s">
        <v>190</v>
      </c>
      <c r="D65" s="404" t="s">
        <v>4</v>
      </c>
      <c r="E65" s="113"/>
      <c r="F65" s="81">
        <v>22352.63</v>
      </c>
      <c r="G65" s="81">
        <v>0</v>
      </c>
      <c r="H65" s="81">
        <v>22352.63</v>
      </c>
      <c r="I65" s="10"/>
      <c r="J65" s="81">
        <v>504.76</v>
      </c>
      <c r="K65" s="81">
        <v>0</v>
      </c>
      <c r="L65" s="128"/>
      <c r="M65" s="81">
        <v>0</v>
      </c>
      <c r="N65" s="81">
        <v>0</v>
      </c>
      <c r="O65" s="10"/>
      <c r="P65" s="81">
        <v>55.57</v>
      </c>
      <c r="Q65" s="81">
        <v>55.57</v>
      </c>
      <c r="R65" s="81">
        <v>0</v>
      </c>
      <c r="S65" s="10"/>
      <c r="T65" s="81">
        <v>0</v>
      </c>
      <c r="U65" s="81">
        <v>0</v>
      </c>
      <c r="V65" s="10"/>
      <c r="W65" s="81">
        <v>3284.24</v>
      </c>
      <c r="X65" s="81">
        <v>0.23999999999978172</v>
      </c>
      <c r="Y65" s="81">
        <v>3284</v>
      </c>
      <c r="Z65" s="10"/>
      <c r="AA65" s="81">
        <f t="shared" si="0"/>
        <v>26141.39</v>
      </c>
      <c r="AB65" s="10"/>
      <c r="AC65" s="219">
        <f t="shared" si="1"/>
        <v>25692.440000000002</v>
      </c>
      <c r="AD65" s="219">
        <f t="shared" si="2"/>
        <v>55.809999999999782</v>
      </c>
      <c r="AE65" s="219">
        <f t="shared" si="3"/>
        <v>25636.63</v>
      </c>
      <c r="AF65" s="219">
        <f t="shared" si="4"/>
        <v>504.76</v>
      </c>
      <c r="AG65" s="219">
        <f t="shared" si="5"/>
        <v>0</v>
      </c>
      <c r="AH65" s="219"/>
    </row>
    <row r="66" spans="1:34" x14ac:dyDescent="0.2">
      <c r="A66" s="376">
        <v>14550</v>
      </c>
      <c r="B66" s="376" t="s">
        <v>200</v>
      </c>
      <c r="C66" s="376" t="s">
        <v>131</v>
      </c>
      <c r="D66" s="404" t="s">
        <v>5</v>
      </c>
      <c r="E66" s="113"/>
      <c r="F66" s="81">
        <v>1017.75</v>
      </c>
      <c r="G66" s="81">
        <v>0</v>
      </c>
      <c r="H66" s="81">
        <v>1017.75</v>
      </c>
      <c r="I66" s="10"/>
      <c r="J66" s="81">
        <v>18.260000000000002</v>
      </c>
      <c r="K66" s="81">
        <v>0</v>
      </c>
      <c r="L66" s="128"/>
      <c r="M66" s="81">
        <v>0</v>
      </c>
      <c r="N66" s="81">
        <v>0</v>
      </c>
      <c r="O66" s="10"/>
      <c r="P66" s="81">
        <v>1629.54</v>
      </c>
      <c r="Q66" s="81">
        <v>0</v>
      </c>
      <c r="R66" s="81">
        <v>1629.54</v>
      </c>
      <c r="S66" s="10"/>
      <c r="T66" s="81">
        <v>0</v>
      </c>
      <c r="U66" s="81">
        <v>0</v>
      </c>
      <c r="V66" s="10"/>
      <c r="W66" s="81">
        <v>0</v>
      </c>
      <c r="X66" s="81">
        <v>0</v>
      </c>
      <c r="Y66" s="81">
        <v>0</v>
      </c>
      <c r="Z66" s="10"/>
      <c r="AA66" s="81">
        <f t="shared" si="0"/>
        <v>2665.55</v>
      </c>
      <c r="AB66" s="10"/>
      <c r="AC66" s="219">
        <f t="shared" si="1"/>
        <v>2647.29</v>
      </c>
      <c r="AD66" s="219">
        <f t="shared" si="2"/>
        <v>0</v>
      </c>
      <c r="AE66" s="219">
        <f t="shared" si="3"/>
        <v>2647.29</v>
      </c>
      <c r="AF66" s="219">
        <f t="shared" si="4"/>
        <v>18.260000000000002</v>
      </c>
      <c r="AG66" s="219">
        <f t="shared" si="5"/>
        <v>0</v>
      </c>
      <c r="AH66" s="219"/>
    </row>
    <row r="67" spans="1:34" x14ac:dyDescent="0.2">
      <c r="A67" s="376">
        <v>14600</v>
      </c>
      <c r="B67" s="376" t="s">
        <v>201</v>
      </c>
      <c r="C67" s="376" t="s">
        <v>293</v>
      </c>
      <c r="D67" s="404" t="s">
        <v>2</v>
      </c>
      <c r="E67" s="113"/>
      <c r="F67" s="81">
        <v>1791</v>
      </c>
      <c r="G67" s="81">
        <v>0</v>
      </c>
      <c r="H67" s="81">
        <v>1791</v>
      </c>
      <c r="I67" s="10"/>
      <c r="J67" s="81">
        <v>2.41</v>
      </c>
      <c r="K67" s="81">
        <v>0</v>
      </c>
      <c r="L67" s="128"/>
      <c r="M67" s="81">
        <v>0</v>
      </c>
      <c r="N67" s="81">
        <v>0</v>
      </c>
      <c r="O67" s="10"/>
      <c r="P67" s="81">
        <v>1250</v>
      </c>
      <c r="Q67" s="81">
        <v>300</v>
      </c>
      <c r="R67" s="81">
        <v>950</v>
      </c>
      <c r="S67" s="10"/>
      <c r="T67" s="81">
        <v>0</v>
      </c>
      <c r="U67" s="81">
        <v>0</v>
      </c>
      <c r="V67" s="10"/>
      <c r="W67" s="81">
        <v>0</v>
      </c>
      <c r="X67" s="81">
        <v>0</v>
      </c>
      <c r="Y67" s="81">
        <v>0</v>
      </c>
      <c r="Z67" s="10"/>
      <c r="AA67" s="81">
        <f t="shared" si="0"/>
        <v>2743.41</v>
      </c>
      <c r="AB67" s="10"/>
      <c r="AC67" s="219">
        <f t="shared" si="1"/>
        <v>3041</v>
      </c>
      <c r="AD67" s="219">
        <f t="shared" si="2"/>
        <v>300</v>
      </c>
      <c r="AE67" s="219">
        <f t="shared" si="3"/>
        <v>2741</v>
      </c>
      <c r="AF67" s="219">
        <f t="shared" si="4"/>
        <v>2.41</v>
      </c>
      <c r="AG67" s="219">
        <f t="shared" si="5"/>
        <v>0</v>
      </c>
      <c r="AH67" s="219"/>
    </row>
    <row r="68" spans="1:34" x14ac:dyDescent="0.2">
      <c r="A68" s="376">
        <v>14650</v>
      </c>
      <c r="B68" s="376" t="s">
        <v>202</v>
      </c>
      <c r="C68" s="376" t="s">
        <v>163</v>
      </c>
      <c r="D68" s="404" t="s">
        <v>3</v>
      </c>
      <c r="E68" s="113"/>
      <c r="F68" s="81">
        <v>53161</v>
      </c>
      <c r="G68" s="81">
        <v>0</v>
      </c>
      <c r="H68" s="81">
        <v>53161</v>
      </c>
      <c r="I68" s="10"/>
      <c r="J68" s="81">
        <v>404</v>
      </c>
      <c r="K68" s="81">
        <v>61</v>
      </c>
      <c r="L68" s="128"/>
      <c r="M68" s="81">
        <v>0</v>
      </c>
      <c r="N68" s="81">
        <v>0</v>
      </c>
      <c r="O68" s="10"/>
      <c r="P68" s="81">
        <v>3695.83</v>
      </c>
      <c r="Q68" s="81">
        <v>182.8299999999999</v>
      </c>
      <c r="R68" s="81">
        <v>3513</v>
      </c>
      <c r="S68" s="10"/>
      <c r="T68" s="81">
        <v>0</v>
      </c>
      <c r="U68" s="81">
        <v>0</v>
      </c>
      <c r="V68" s="10"/>
      <c r="W68" s="81">
        <v>9123.92</v>
      </c>
      <c r="X68" s="81">
        <v>2499.2200000000003</v>
      </c>
      <c r="Y68" s="81">
        <v>6624.7</v>
      </c>
      <c r="Z68" s="10"/>
      <c r="AA68" s="81">
        <f t="shared" si="0"/>
        <v>63763.7</v>
      </c>
      <c r="AB68" s="10"/>
      <c r="AC68" s="219">
        <f t="shared" si="1"/>
        <v>65980.75</v>
      </c>
      <c r="AD68" s="219">
        <f t="shared" si="2"/>
        <v>2682.05</v>
      </c>
      <c r="AE68" s="219">
        <f t="shared" si="3"/>
        <v>63298.7</v>
      </c>
      <c r="AF68" s="219">
        <f t="shared" si="4"/>
        <v>404</v>
      </c>
      <c r="AG68" s="219">
        <f t="shared" si="5"/>
        <v>61</v>
      </c>
      <c r="AH68" s="219"/>
    </row>
    <row r="69" spans="1:34" x14ac:dyDescent="0.2">
      <c r="A69" s="376">
        <v>14700</v>
      </c>
      <c r="B69" s="376" t="s">
        <v>203</v>
      </c>
      <c r="C69" s="376" t="s">
        <v>190</v>
      </c>
      <c r="D69" s="404" t="s">
        <v>4</v>
      </c>
      <c r="E69" s="113"/>
      <c r="F69" s="81">
        <v>6863</v>
      </c>
      <c r="G69" s="81">
        <v>0</v>
      </c>
      <c r="H69" s="81">
        <v>6863</v>
      </c>
      <c r="I69" s="10"/>
      <c r="J69" s="81">
        <v>120</v>
      </c>
      <c r="K69" s="81">
        <v>295</v>
      </c>
      <c r="L69" s="128"/>
      <c r="M69" s="81">
        <v>0</v>
      </c>
      <c r="N69" s="81">
        <v>0</v>
      </c>
      <c r="O69" s="10"/>
      <c r="P69" s="81">
        <v>0</v>
      </c>
      <c r="Q69" s="81">
        <v>0</v>
      </c>
      <c r="R69" s="81">
        <v>0</v>
      </c>
      <c r="S69" s="10"/>
      <c r="T69" s="81">
        <v>4.7</v>
      </c>
      <c r="U69" s="81">
        <v>0</v>
      </c>
      <c r="V69" s="10"/>
      <c r="W69" s="81">
        <v>1026</v>
      </c>
      <c r="X69" s="81">
        <v>0</v>
      </c>
      <c r="Y69" s="81">
        <v>1026</v>
      </c>
      <c r="Z69" s="10"/>
      <c r="AA69" s="81">
        <f t="shared" si="0"/>
        <v>8308.7000000000007</v>
      </c>
      <c r="AB69" s="10"/>
      <c r="AC69" s="219">
        <f t="shared" si="1"/>
        <v>7889</v>
      </c>
      <c r="AD69" s="219">
        <f t="shared" si="2"/>
        <v>0</v>
      </c>
      <c r="AE69" s="219">
        <f t="shared" si="3"/>
        <v>7889</v>
      </c>
      <c r="AF69" s="219">
        <f t="shared" si="4"/>
        <v>124.7</v>
      </c>
      <c r="AG69" s="219">
        <f t="shared" si="5"/>
        <v>295</v>
      </c>
      <c r="AH69" s="219"/>
    </row>
    <row r="70" spans="1:34" x14ac:dyDescent="0.2">
      <c r="A70" s="376">
        <v>14750</v>
      </c>
      <c r="B70" s="376" t="s">
        <v>204</v>
      </c>
      <c r="C70" s="376" t="s">
        <v>705</v>
      </c>
      <c r="D70" s="404" t="s">
        <v>2</v>
      </c>
      <c r="E70" s="113"/>
      <c r="F70" s="81">
        <v>1752.33</v>
      </c>
      <c r="G70" s="81">
        <v>0</v>
      </c>
      <c r="H70" s="81">
        <v>1752.33</v>
      </c>
      <c r="I70" s="10"/>
      <c r="J70" s="81">
        <v>28.9</v>
      </c>
      <c r="K70" s="81">
        <v>0</v>
      </c>
      <c r="L70" s="128"/>
      <c r="M70" s="81">
        <v>15.2</v>
      </c>
      <c r="N70" s="81">
        <v>0</v>
      </c>
      <c r="O70" s="10"/>
      <c r="P70" s="81">
        <v>1922.46</v>
      </c>
      <c r="Q70" s="81">
        <v>5.2400000000000091</v>
      </c>
      <c r="R70" s="81">
        <v>1917.22</v>
      </c>
      <c r="S70" s="10"/>
      <c r="T70" s="81">
        <v>0</v>
      </c>
      <c r="U70" s="81">
        <v>0</v>
      </c>
      <c r="V70" s="10"/>
      <c r="W70" s="81">
        <v>26.57</v>
      </c>
      <c r="X70" s="81">
        <v>0</v>
      </c>
      <c r="Y70" s="81">
        <v>26.57</v>
      </c>
      <c r="Z70" s="10"/>
      <c r="AA70" s="81">
        <f t="shared" ref="AA70:AA132" si="6">H70+J70+K70+M70+N70+R70+T70+U70+Y70</f>
        <v>3740.2200000000003</v>
      </c>
      <c r="AB70" s="10"/>
      <c r="AC70" s="219">
        <f t="shared" ref="AC70:AC132" si="7">F70+P70+W70</f>
        <v>3701.36</v>
      </c>
      <c r="AD70" s="219">
        <f t="shared" ref="AD70:AD132" si="8">G70+Q70+X70</f>
        <v>5.2400000000000091</v>
      </c>
      <c r="AE70" s="219">
        <f t="shared" ref="AE70:AE132" si="9">H70+R70+Y70</f>
        <v>3696.1200000000003</v>
      </c>
      <c r="AF70" s="219">
        <f t="shared" ref="AF70:AF132" si="10">J70+M70+T70</f>
        <v>44.099999999999994</v>
      </c>
      <c r="AG70" s="219">
        <f t="shared" ref="AG70:AG132" si="11">K70+N70+U70</f>
        <v>0</v>
      </c>
      <c r="AH70" s="219"/>
    </row>
    <row r="71" spans="1:34" x14ac:dyDescent="0.2">
      <c r="A71" s="376">
        <v>14850</v>
      </c>
      <c r="B71" s="376" t="s">
        <v>205</v>
      </c>
      <c r="C71" s="376" t="s">
        <v>131</v>
      </c>
      <c r="D71" s="404" t="s">
        <v>5</v>
      </c>
      <c r="E71" s="113"/>
      <c r="F71" s="81">
        <v>5120</v>
      </c>
      <c r="G71" s="81">
        <v>0</v>
      </c>
      <c r="H71" s="81">
        <v>5120</v>
      </c>
      <c r="I71" s="10"/>
      <c r="J71" s="81">
        <v>127.9</v>
      </c>
      <c r="K71" s="81">
        <v>0</v>
      </c>
      <c r="L71" s="128"/>
      <c r="M71" s="81">
        <v>0</v>
      </c>
      <c r="N71" s="81">
        <v>0</v>
      </c>
      <c r="O71" s="10"/>
      <c r="P71" s="81">
        <v>8840.2000000000007</v>
      </c>
      <c r="Q71" s="81">
        <v>7113.2</v>
      </c>
      <c r="R71" s="81">
        <v>1727</v>
      </c>
      <c r="S71" s="10"/>
      <c r="T71" s="81">
        <v>0</v>
      </c>
      <c r="U71" s="81">
        <v>0</v>
      </c>
      <c r="V71" s="10"/>
      <c r="W71" s="81">
        <v>0</v>
      </c>
      <c r="X71" s="81">
        <v>0</v>
      </c>
      <c r="Y71" s="81">
        <v>0</v>
      </c>
      <c r="Z71" s="10"/>
      <c r="AA71" s="81">
        <f t="shared" si="6"/>
        <v>6974.9</v>
      </c>
      <c r="AB71" s="10"/>
      <c r="AC71" s="219">
        <f t="shared" si="7"/>
        <v>13960.2</v>
      </c>
      <c r="AD71" s="219">
        <f t="shared" si="8"/>
        <v>7113.2</v>
      </c>
      <c r="AE71" s="219">
        <f t="shared" si="9"/>
        <v>6847</v>
      </c>
      <c r="AF71" s="219">
        <f t="shared" si="10"/>
        <v>127.9</v>
      </c>
      <c r="AG71" s="219">
        <f t="shared" si="11"/>
        <v>0</v>
      </c>
      <c r="AH71" s="219"/>
    </row>
    <row r="72" spans="1:34" x14ac:dyDescent="0.2">
      <c r="A72" s="376">
        <v>14870</v>
      </c>
      <c r="B72" s="376" t="s">
        <v>206</v>
      </c>
      <c r="C72" s="376" t="s">
        <v>293</v>
      </c>
      <c r="D72" s="404" t="s">
        <v>2</v>
      </c>
      <c r="E72" s="113"/>
      <c r="F72" s="81">
        <v>5479</v>
      </c>
      <c r="G72" s="81">
        <v>0</v>
      </c>
      <c r="H72" s="81">
        <v>5479</v>
      </c>
      <c r="I72" s="10"/>
      <c r="J72" s="81">
        <v>173</v>
      </c>
      <c r="K72" s="81">
        <v>0</v>
      </c>
      <c r="L72" s="128"/>
      <c r="M72" s="81">
        <v>0</v>
      </c>
      <c r="N72" s="81">
        <v>204</v>
      </c>
      <c r="O72" s="10"/>
      <c r="P72" s="81">
        <v>8</v>
      </c>
      <c r="Q72" s="81">
        <v>8</v>
      </c>
      <c r="R72" s="81">
        <v>0</v>
      </c>
      <c r="S72" s="10"/>
      <c r="T72" s="81">
        <v>0</v>
      </c>
      <c r="U72" s="81">
        <v>10</v>
      </c>
      <c r="V72" s="10"/>
      <c r="W72" s="81">
        <v>47</v>
      </c>
      <c r="X72" s="81">
        <v>0</v>
      </c>
      <c r="Y72" s="81">
        <v>47</v>
      </c>
      <c r="Z72" s="10"/>
      <c r="AA72" s="81">
        <f t="shared" si="6"/>
        <v>5913</v>
      </c>
      <c r="AB72" s="10"/>
      <c r="AC72" s="219">
        <f t="shared" si="7"/>
        <v>5534</v>
      </c>
      <c r="AD72" s="219">
        <f t="shared" si="8"/>
        <v>8</v>
      </c>
      <c r="AE72" s="219">
        <f t="shared" si="9"/>
        <v>5526</v>
      </c>
      <c r="AF72" s="219">
        <f t="shared" si="10"/>
        <v>173</v>
      </c>
      <c r="AG72" s="219">
        <f t="shared" si="11"/>
        <v>214</v>
      </c>
      <c r="AH72" s="219"/>
    </row>
    <row r="73" spans="1:34" x14ac:dyDescent="0.2">
      <c r="A73" s="376">
        <v>14900</v>
      </c>
      <c r="B73" s="376" t="s">
        <v>207</v>
      </c>
      <c r="C73" s="376" t="s">
        <v>129</v>
      </c>
      <c r="D73" s="404" t="s">
        <v>4</v>
      </c>
      <c r="E73" s="113"/>
      <c r="F73" s="81">
        <v>46780</v>
      </c>
      <c r="G73" s="81">
        <v>25729</v>
      </c>
      <c r="H73" s="81">
        <v>21051</v>
      </c>
      <c r="I73" s="10"/>
      <c r="J73" s="81">
        <v>3301</v>
      </c>
      <c r="K73" s="81">
        <v>483</v>
      </c>
      <c r="L73" s="128"/>
      <c r="M73" s="81">
        <v>0</v>
      </c>
      <c r="N73" s="81">
        <v>0</v>
      </c>
      <c r="O73" s="10"/>
      <c r="P73" s="81">
        <v>5.26</v>
      </c>
      <c r="Q73" s="81">
        <v>5.26</v>
      </c>
      <c r="R73" s="81">
        <v>0</v>
      </c>
      <c r="S73" s="10"/>
      <c r="T73" s="81">
        <v>0</v>
      </c>
      <c r="U73" s="81">
        <v>0</v>
      </c>
      <c r="V73" s="10"/>
      <c r="W73" s="81">
        <v>4597</v>
      </c>
      <c r="X73" s="81">
        <v>0</v>
      </c>
      <c r="Y73" s="81">
        <v>4597</v>
      </c>
      <c r="Z73" s="10"/>
      <c r="AA73" s="81">
        <f t="shared" si="6"/>
        <v>29432</v>
      </c>
      <c r="AB73" s="10"/>
      <c r="AC73" s="219">
        <f t="shared" si="7"/>
        <v>51382.26</v>
      </c>
      <c r="AD73" s="219">
        <f t="shared" si="8"/>
        <v>25734.26</v>
      </c>
      <c r="AE73" s="219">
        <f t="shared" si="9"/>
        <v>25648</v>
      </c>
      <c r="AF73" s="219">
        <f t="shared" si="10"/>
        <v>3301</v>
      </c>
      <c r="AG73" s="219">
        <f t="shared" si="11"/>
        <v>483</v>
      </c>
      <c r="AH73" s="219"/>
    </row>
    <row r="74" spans="1:34" x14ac:dyDescent="0.2">
      <c r="A74" s="376">
        <v>14920</v>
      </c>
      <c r="B74" s="376" t="s">
        <v>208</v>
      </c>
      <c r="C74" s="376" t="s">
        <v>125</v>
      </c>
      <c r="D74" s="404" t="s">
        <v>2</v>
      </c>
      <c r="E74" s="113"/>
      <c r="F74" s="81">
        <v>1500</v>
      </c>
      <c r="G74" s="81">
        <v>0</v>
      </c>
      <c r="H74" s="81">
        <v>1500</v>
      </c>
      <c r="I74" s="10"/>
      <c r="J74" s="81">
        <v>25</v>
      </c>
      <c r="K74" s="81">
        <v>0</v>
      </c>
      <c r="L74" s="128"/>
      <c r="M74" s="81">
        <v>0</v>
      </c>
      <c r="N74" s="81">
        <v>0</v>
      </c>
      <c r="O74" s="10"/>
      <c r="P74" s="81">
        <v>909</v>
      </c>
      <c r="Q74" s="81">
        <v>0</v>
      </c>
      <c r="R74" s="81">
        <v>909</v>
      </c>
      <c r="S74" s="10"/>
      <c r="T74" s="81">
        <v>0</v>
      </c>
      <c r="U74" s="81">
        <v>0.5</v>
      </c>
      <c r="V74" s="10"/>
      <c r="W74" s="81">
        <v>51</v>
      </c>
      <c r="X74" s="81">
        <v>0</v>
      </c>
      <c r="Y74" s="81">
        <v>51</v>
      </c>
      <c r="Z74" s="10"/>
      <c r="AA74" s="81">
        <f t="shared" si="6"/>
        <v>2485.5</v>
      </c>
      <c r="AB74" s="10"/>
      <c r="AC74" s="219">
        <f t="shared" si="7"/>
        <v>2460</v>
      </c>
      <c r="AD74" s="219">
        <f t="shared" si="8"/>
        <v>0</v>
      </c>
      <c r="AE74" s="219">
        <f t="shared" si="9"/>
        <v>2460</v>
      </c>
      <c r="AF74" s="219">
        <f t="shared" si="10"/>
        <v>25</v>
      </c>
      <c r="AG74" s="219">
        <f t="shared" si="11"/>
        <v>0.5</v>
      </c>
      <c r="AH74" s="219"/>
    </row>
    <row r="75" spans="1:34" x14ac:dyDescent="0.2">
      <c r="A75" s="376">
        <v>14950</v>
      </c>
      <c r="B75" s="376" t="s">
        <v>209</v>
      </c>
      <c r="C75" s="376" t="s">
        <v>142</v>
      </c>
      <c r="D75" s="404" t="s">
        <v>2</v>
      </c>
      <c r="E75" s="113"/>
      <c r="F75" s="81">
        <v>667</v>
      </c>
      <c r="G75" s="81">
        <v>0</v>
      </c>
      <c r="H75" s="81">
        <v>667</v>
      </c>
      <c r="I75" s="10"/>
      <c r="J75" s="81">
        <v>8.81</v>
      </c>
      <c r="K75" s="81">
        <v>0</v>
      </c>
      <c r="L75" s="128"/>
      <c r="M75" s="81">
        <v>0</v>
      </c>
      <c r="N75" s="81">
        <v>0</v>
      </c>
      <c r="O75" s="10"/>
      <c r="P75" s="81">
        <v>0</v>
      </c>
      <c r="Q75" s="81">
        <v>0</v>
      </c>
      <c r="R75" s="81">
        <v>0</v>
      </c>
      <c r="S75" s="10"/>
      <c r="T75" s="81">
        <v>0</v>
      </c>
      <c r="U75" s="81">
        <v>0</v>
      </c>
      <c r="V75" s="10"/>
      <c r="W75" s="81">
        <v>32.700000000000003</v>
      </c>
      <c r="X75" s="81">
        <v>0</v>
      </c>
      <c r="Y75" s="81">
        <v>32.700000000000003</v>
      </c>
      <c r="Z75" s="10"/>
      <c r="AA75" s="81">
        <f t="shared" si="6"/>
        <v>708.51</v>
      </c>
      <c r="AB75" s="10"/>
      <c r="AC75" s="219">
        <f t="shared" si="7"/>
        <v>699.7</v>
      </c>
      <c r="AD75" s="219">
        <f t="shared" si="8"/>
        <v>0</v>
      </c>
      <c r="AE75" s="219">
        <f t="shared" si="9"/>
        <v>699.7</v>
      </c>
      <c r="AF75" s="219">
        <f t="shared" si="10"/>
        <v>8.81</v>
      </c>
      <c r="AG75" s="219">
        <f t="shared" si="11"/>
        <v>0</v>
      </c>
      <c r="AH75" s="219"/>
    </row>
    <row r="76" spans="1:34" x14ac:dyDescent="0.2">
      <c r="A76" s="376">
        <v>15050</v>
      </c>
      <c r="B76" s="376" t="s">
        <v>210</v>
      </c>
      <c r="C76" s="376" t="s">
        <v>163</v>
      </c>
      <c r="D76" s="404" t="s">
        <v>3</v>
      </c>
      <c r="E76" s="113"/>
      <c r="F76" s="81">
        <v>24519</v>
      </c>
      <c r="G76" s="81">
        <v>0</v>
      </c>
      <c r="H76" s="81">
        <v>24519</v>
      </c>
      <c r="I76" s="10"/>
      <c r="J76" s="81">
        <v>143</v>
      </c>
      <c r="K76" s="81">
        <v>8</v>
      </c>
      <c r="L76" s="128"/>
      <c r="M76" s="81">
        <v>0</v>
      </c>
      <c r="N76" s="81">
        <v>0</v>
      </c>
      <c r="O76" s="10"/>
      <c r="P76" s="81">
        <v>4561</v>
      </c>
      <c r="Q76" s="81">
        <v>468</v>
      </c>
      <c r="R76" s="81">
        <v>4093</v>
      </c>
      <c r="S76" s="10"/>
      <c r="T76" s="81">
        <v>0</v>
      </c>
      <c r="U76" s="81">
        <v>0</v>
      </c>
      <c r="V76" s="10"/>
      <c r="W76" s="81">
        <v>0</v>
      </c>
      <c r="X76" s="81">
        <v>0</v>
      </c>
      <c r="Y76" s="81">
        <v>0</v>
      </c>
      <c r="Z76" s="10"/>
      <c r="AA76" s="81">
        <f t="shared" si="6"/>
        <v>28763</v>
      </c>
      <c r="AB76" s="10"/>
      <c r="AC76" s="219">
        <f t="shared" si="7"/>
        <v>29080</v>
      </c>
      <c r="AD76" s="219">
        <f t="shared" si="8"/>
        <v>468</v>
      </c>
      <c r="AE76" s="219">
        <f t="shared" si="9"/>
        <v>28612</v>
      </c>
      <c r="AF76" s="219">
        <f t="shared" si="10"/>
        <v>143</v>
      </c>
      <c r="AG76" s="219">
        <f t="shared" si="11"/>
        <v>8</v>
      </c>
      <c r="AH76" s="219"/>
    </row>
    <row r="77" spans="1:34" x14ac:dyDescent="0.2">
      <c r="A77" s="376">
        <v>15240</v>
      </c>
      <c r="B77" s="376" t="s">
        <v>180</v>
      </c>
      <c r="C77" s="376" t="s">
        <v>294</v>
      </c>
      <c r="D77" s="404" t="s">
        <v>5</v>
      </c>
      <c r="E77" s="113"/>
      <c r="F77" s="81">
        <v>20480.310000000001</v>
      </c>
      <c r="G77" s="81">
        <v>0</v>
      </c>
      <c r="H77" s="81">
        <v>20480.310000000001</v>
      </c>
      <c r="I77" s="10"/>
      <c r="J77" s="81">
        <v>866.64</v>
      </c>
      <c r="K77" s="81">
        <v>0</v>
      </c>
      <c r="L77" s="128"/>
      <c r="M77" s="81">
        <v>0</v>
      </c>
      <c r="N77" s="81">
        <v>0</v>
      </c>
      <c r="O77" s="10"/>
      <c r="P77" s="81">
        <v>10093.24</v>
      </c>
      <c r="Q77" s="81">
        <v>3479.54</v>
      </c>
      <c r="R77" s="81">
        <v>6613.7</v>
      </c>
      <c r="S77" s="10"/>
      <c r="T77" s="81">
        <v>0</v>
      </c>
      <c r="U77" s="81">
        <v>0</v>
      </c>
      <c r="V77" s="10"/>
      <c r="W77" s="81">
        <v>2544.92</v>
      </c>
      <c r="X77" s="81">
        <v>0</v>
      </c>
      <c r="Y77" s="81">
        <v>2544.92</v>
      </c>
      <c r="Z77" s="10"/>
      <c r="AA77" s="81">
        <f>H77+J77+K77+M77+N77+R77+T77+U77+Y77</f>
        <v>30505.57</v>
      </c>
      <c r="AB77" s="10"/>
      <c r="AC77" s="219">
        <f t="shared" si="7"/>
        <v>33118.47</v>
      </c>
      <c r="AD77" s="219">
        <f t="shared" si="8"/>
        <v>3479.54</v>
      </c>
      <c r="AE77" s="219">
        <f t="shared" si="9"/>
        <v>29638.93</v>
      </c>
      <c r="AF77" s="219">
        <f t="shared" si="10"/>
        <v>866.64</v>
      </c>
      <c r="AG77" s="219">
        <f t="shared" si="11"/>
        <v>0</v>
      </c>
      <c r="AH77" s="219"/>
    </row>
    <row r="78" spans="1:34" x14ac:dyDescent="0.2">
      <c r="A78" s="376">
        <v>15270</v>
      </c>
      <c r="B78" s="376" t="s">
        <v>212</v>
      </c>
      <c r="C78" s="376" t="s">
        <v>293</v>
      </c>
      <c r="D78" s="404" t="s">
        <v>2</v>
      </c>
      <c r="E78" s="113"/>
      <c r="F78" s="81">
        <v>4732.9399999999996</v>
      </c>
      <c r="G78" s="81">
        <v>0</v>
      </c>
      <c r="H78" s="81">
        <v>4732.9399999999996</v>
      </c>
      <c r="I78" s="10"/>
      <c r="J78" s="81">
        <v>161.30000000000001</v>
      </c>
      <c r="K78" s="81">
        <v>0</v>
      </c>
      <c r="L78" s="128"/>
      <c r="M78" s="81">
        <v>54.06</v>
      </c>
      <c r="N78" s="81">
        <v>0</v>
      </c>
      <c r="O78" s="10"/>
      <c r="P78" s="81">
        <v>6611.02</v>
      </c>
      <c r="Q78" s="81">
        <v>0.5</v>
      </c>
      <c r="R78" s="81">
        <v>6610.52</v>
      </c>
      <c r="S78" s="10"/>
      <c r="T78" s="81">
        <v>0</v>
      </c>
      <c r="U78" s="81">
        <v>0</v>
      </c>
      <c r="V78" s="10"/>
      <c r="W78" s="81">
        <v>0</v>
      </c>
      <c r="X78" s="81">
        <v>0</v>
      </c>
      <c r="Y78" s="81">
        <v>0</v>
      </c>
      <c r="Z78" s="10"/>
      <c r="AA78" s="81">
        <f t="shared" si="6"/>
        <v>11558.82</v>
      </c>
      <c r="AB78" s="10"/>
      <c r="AC78" s="219">
        <f t="shared" si="7"/>
        <v>11343.96</v>
      </c>
      <c r="AD78" s="219">
        <f t="shared" si="8"/>
        <v>0.5</v>
      </c>
      <c r="AE78" s="219">
        <f t="shared" si="9"/>
        <v>11343.46</v>
      </c>
      <c r="AF78" s="219">
        <f t="shared" si="10"/>
        <v>215.36</v>
      </c>
      <c r="AG78" s="219">
        <f t="shared" si="11"/>
        <v>0</v>
      </c>
      <c r="AH78" s="219"/>
    </row>
    <row r="79" spans="1:34" x14ac:dyDescent="0.2">
      <c r="A79" s="376">
        <v>15300</v>
      </c>
      <c r="B79" s="376" t="s">
        <v>213</v>
      </c>
      <c r="C79" s="376" t="s">
        <v>125</v>
      </c>
      <c r="D79" s="404" t="s">
        <v>2</v>
      </c>
      <c r="E79" s="113"/>
      <c r="F79" s="81">
        <v>2577.52</v>
      </c>
      <c r="G79" s="81">
        <v>0</v>
      </c>
      <c r="H79" s="81">
        <v>2577.52</v>
      </c>
      <c r="I79" s="10"/>
      <c r="J79" s="81">
        <v>41.38</v>
      </c>
      <c r="K79" s="81">
        <v>0</v>
      </c>
      <c r="L79" s="128"/>
      <c r="M79" s="81">
        <v>0</v>
      </c>
      <c r="N79" s="81">
        <v>0</v>
      </c>
      <c r="O79" s="10"/>
      <c r="P79" s="81">
        <v>0</v>
      </c>
      <c r="Q79" s="81">
        <v>0</v>
      </c>
      <c r="R79" s="81">
        <v>0</v>
      </c>
      <c r="S79" s="10"/>
      <c r="T79" s="81">
        <v>0</v>
      </c>
      <c r="U79" s="81">
        <v>0</v>
      </c>
      <c r="V79" s="10"/>
      <c r="W79" s="81">
        <v>62</v>
      </c>
      <c r="X79" s="81">
        <v>0</v>
      </c>
      <c r="Y79" s="81">
        <v>62</v>
      </c>
      <c r="Z79" s="10"/>
      <c r="AA79" s="81">
        <f t="shared" si="6"/>
        <v>2680.9</v>
      </c>
      <c r="AB79" s="10"/>
      <c r="AC79" s="219">
        <f t="shared" si="7"/>
        <v>2639.52</v>
      </c>
      <c r="AD79" s="219">
        <f t="shared" si="8"/>
        <v>0</v>
      </c>
      <c r="AE79" s="219">
        <f t="shared" si="9"/>
        <v>2639.52</v>
      </c>
      <c r="AF79" s="219">
        <f t="shared" si="10"/>
        <v>41.38</v>
      </c>
      <c r="AG79" s="219">
        <f t="shared" si="11"/>
        <v>0</v>
      </c>
      <c r="AH79" s="219"/>
    </row>
    <row r="80" spans="1:34" x14ac:dyDescent="0.2">
      <c r="A80" s="376">
        <v>15350</v>
      </c>
      <c r="B80" s="376" t="s">
        <v>214</v>
      </c>
      <c r="C80" s="376" t="s">
        <v>190</v>
      </c>
      <c r="D80" s="404" t="s">
        <v>4</v>
      </c>
      <c r="E80" s="113"/>
      <c r="F80" s="81">
        <v>6107</v>
      </c>
      <c r="G80" s="81">
        <v>0</v>
      </c>
      <c r="H80" s="81">
        <v>6107</v>
      </c>
      <c r="I80" s="10"/>
      <c r="J80" s="81">
        <v>84</v>
      </c>
      <c r="K80" s="81">
        <v>0</v>
      </c>
      <c r="L80" s="128"/>
      <c r="M80" s="81">
        <v>1</v>
      </c>
      <c r="N80" s="81">
        <v>0</v>
      </c>
      <c r="O80" s="10"/>
      <c r="P80" s="81">
        <v>0</v>
      </c>
      <c r="Q80" s="81">
        <v>0</v>
      </c>
      <c r="R80" s="81">
        <v>0</v>
      </c>
      <c r="S80" s="10"/>
      <c r="T80" s="81">
        <v>1</v>
      </c>
      <c r="U80" s="81">
        <v>0</v>
      </c>
      <c r="V80" s="10"/>
      <c r="W80" s="81">
        <v>594</v>
      </c>
      <c r="X80" s="81">
        <v>0</v>
      </c>
      <c r="Y80" s="81">
        <v>594</v>
      </c>
      <c r="Z80" s="10"/>
      <c r="AA80" s="81">
        <f t="shared" si="6"/>
        <v>6787</v>
      </c>
      <c r="AB80" s="10"/>
      <c r="AC80" s="219">
        <f t="shared" si="7"/>
        <v>6701</v>
      </c>
      <c r="AD80" s="219">
        <f t="shared" si="8"/>
        <v>0</v>
      </c>
      <c r="AE80" s="219">
        <f t="shared" si="9"/>
        <v>6701</v>
      </c>
      <c r="AF80" s="219">
        <f t="shared" si="10"/>
        <v>86</v>
      </c>
      <c r="AG80" s="219">
        <f t="shared" si="11"/>
        <v>0</v>
      </c>
      <c r="AH80" s="219"/>
    </row>
    <row r="81" spans="1:34" x14ac:dyDescent="0.2">
      <c r="A81" s="376">
        <v>15520</v>
      </c>
      <c r="B81" s="376" t="s">
        <v>215</v>
      </c>
      <c r="C81" s="376" t="s">
        <v>703</v>
      </c>
      <c r="D81" s="404" t="s">
        <v>2</v>
      </c>
      <c r="E81" s="113"/>
      <c r="F81" s="81">
        <v>3678</v>
      </c>
      <c r="G81" s="81">
        <v>0</v>
      </c>
      <c r="H81" s="81">
        <v>3678</v>
      </c>
      <c r="I81" s="10"/>
      <c r="J81" s="81">
        <v>60</v>
      </c>
      <c r="K81" s="81">
        <v>0</v>
      </c>
      <c r="L81" s="128"/>
      <c r="M81" s="81">
        <v>0</v>
      </c>
      <c r="N81" s="81">
        <v>0</v>
      </c>
      <c r="O81" s="10"/>
      <c r="P81" s="81">
        <v>0</v>
      </c>
      <c r="Q81" s="81">
        <v>0</v>
      </c>
      <c r="R81" s="81">
        <v>0</v>
      </c>
      <c r="S81" s="10"/>
      <c r="T81" s="81">
        <v>0</v>
      </c>
      <c r="U81" s="81">
        <v>0</v>
      </c>
      <c r="V81" s="10"/>
      <c r="W81" s="81">
        <v>0</v>
      </c>
      <c r="X81" s="81">
        <v>0</v>
      </c>
      <c r="Y81" s="81">
        <v>0</v>
      </c>
      <c r="Z81" s="10"/>
      <c r="AA81" s="81">
        <f t="shared" si="6"/>
        <v>3738</v>
      </c>
      <c r="AB81" s="10"/>
      <c r="AC81" s="219">
        <f t="shared" si="7"/>
        <v>3678</v>
      </c>
      <c r="AD81" s="219">
        <f t="shared" si="8"/>
        <v>0</v>
      </c>
      <c r="AE81" s="219">
        <f t="shared" si="9"/>
        <v>3678</v>
      </c>
      <c r="AF81" s="219">
        <f t="shared" si="10"/>
        <v>60</v>
      </c>
      <c r="AG81" s="219">
        <f t="shared" si="11"/>
        <v>0</v>
      </c>
      <c r="AH81" s="219"/>
    </row>
    <row r="82" spans="1:34" x14ac:dyDescent="0.2">
      <c r="A82" s="376">
        <v>15560</v>
      </c>
      <c r="B82" s="376" t="s">
        <v>195</v>
      </c>
      <c r="C82" s="376" t="s">
        <v>705</v>
      </c>
      <c r="D82" s="404" t="s">
        <v>2</v>
      </c>
      <c r="E82" s="113"/>
      <c r="F82" s="81">
        <v>787</v>
      </c>
      <c r="G82" s="81">
        <v>0</v>
      </c>
      <c r="H82" s="81">
        <v>787</v>
      </c>
      <c r="I82" s="10"/>
      <c r="J82" s="81">
        <v>30</v>
      </c>
      <c r="K82" s="81">
        <v>0</v>
      </c>
      <c r="L82" s="128"/>
      <c r="M82" s="81">
        <v>0</v>
      </c>
      <c r="N82" s="81">
        <v>0</v>
      </c>
      <c r="O82" s="10"/>
      <c r="P82" s="81">
        <v>0</v>
      </c>
      <c r="Q82" s="81">
        <v>0</v>
      </c>
      <c r="R82" s="81">
        <v>0</v>
      </c>
      <c r="S82" s="10"/>
      <c r="T82" s="81">
        <v>0</v>
      </c>
      <c r="U82" s="81">
        <v>0</v>
      </c>
      <c r="V82" s="10"/>
      <c r="W82" s="81">
        <v>0</v>
      </c>
      <c r="X82" s="81">
        <v>0</v>
      </c>
      <c r="Y82" s="81">
        <v>0</v>
      </c>
      <c r="Z82" s="10"/>
      <c r="AA82" s="81">
        <f t="shared" si="6"/>
        <v>817</v>
      </c>
      <c r="AB82" s="10"/>
      <c r="AC82" s="219">
        <f t="shared" si="7"/>
        <v>787</v>
      </c>
      <c r="AD82" s="219">
        <f t="shared" si="8"/>
        <v>0</v>
      </c>
      <c r="AE82" s="219">
        <f t="shared" si="9"/>
        <v>787</v>
      </c>
      <c r="AF82" s="219">
        <f t="shared" si="10"/>
        <v>30</v>
      </c>
      <c r="AG82" s="219">
        <f t="shared" si="11"/>
        <v>0</v>
      </c>
      <c r="AH82" s="219"/>
    </row>
    <row r="83" spans="1:34" x14ac:dyDescent="0.2">
      <c r="A83" s="376">
        <v>15650</v>
      </c>
      <c r="B83" s="376" t="s">
        <v>216</v>
      </c>
      <c r="C83" s="376" t="s">
        <v>163</v>
      </c>
      <c r="D83" s="404" t="s">
        <v>5</v>
      </c>
      <c r="E83" s="113"/>
      <c r="F83" s="81">
        <v>3371.5</v>
      </c>
      <c r="G83" s="81">
        <v>0</v>
      </c>
      <c r="H83" s="81">
        <v>3371.5</v>
      </c>
      <c r="I83" s="10"/>
      <c r="J83" s="81">
        <v>657.4</v>
      </c>
      <c r="K83" s="81">
        <v>701.76</v>
      </c>
      <c r="L83" s="128"/>
      <c r="M83" s="81">
        <v>0</v>
      </c>
      <c r="N83" s="81">
        <v>1</v>
      </c>
      <c r="O83" s="10"/>
      <c r="P83" s="81">
        <v>29.72</v>
      </c>
      <c r="Q83" s="81">
        <v>6.2799999999999985</v>
      </c>
      <c r="R83" s="81">
        <v>23.44</v>
      </c>
      <c r="S83" s="10"/>
      <c r="T83" s="81">
        <v>0</v>
      </c>
      <c r="U83" s="81">
        <v>0</v>
      </c>
      <c r="V83" s="10"/>
      <c r="W83" s="81">
        <v>188.76</v>
      </c>
      <c r="X83" s="81">
        <v>0</v>
      </c>
      <c r="Y83" s="81">
        <v>188.76</v>
      </c>
      <c r="Z83" s="10"/>
      <c r="AA83" s="81">
        <f t="shared" si="6"/>
        <v>4943.8599999999997</v>
      </c>
      <c r="AB83" s="10"/>
      <c r="AC83" s="219">
        <f t="shared" si="7"/>
        <v>3589.9799999999996</v>
      </c>
      <c r="AD83" s="219">
        <f t="shared" si="8"/>
        <v>6.2799999999999985</v>
      </c>
      <c r="AE83" s="219">
        <f t="shared" si="9"/>
        <v>3583.7</v>
      </c>
      <c r="AF83" s="219">
        <f t="shared" si="10"/>
        <v>657.4</v>
      </c>
      <c r="AG83" s="219">
        <f t="shared" si="11"/>
        <v>702.76</v>
      </c>
      <c r="AH83" s="219"/>
    </row>
    <row r="84" spans="1:34" x14ac:dyDescent="0.2">
      <c r="A84" s="376">
        <v>15700</v>
      </c>
      <c r="B84" s="376" t="s">
        <v>217</v>
      </c>
      <c r="C84" s="376" t="s">
        <v>294</v>
      </c>
      <c r="D84" s="404" t="s">
        <v>5</v>
      </c>
      <c r="E84" s="113"/>
      <c r="F84" s="81">
        <v>2200</v>
      </c>
      <c r="G84" s="81">
        <v>28.139999999999873</v>
      </c>
      <c r="H84" s="81">
        <v>2171.86</v>
      </c>
      <c r="I84" s="10"/>
      <c r="J84" s="81">
        <v>213</v>
      </c>
      <c r="K84" s="81">
        <v>134</v>
      </c>
      <c r="L84" s="128"/>
      <c r="M84" s="81">
        <v>0</v>
      </c>
      <c r="N84" s="81">
        <v>0</v>
      </c>
      <c r="O84" s="10"/>
      <c r="P84" s="81">
        <v>71.459999999999994</v>
      </c>
      <c r="Q84" s="81">
        <v>71.459999999999994</v>
      </c>
      <c r="R84" s="81">
        <v>0</v>
      </c>
      <c r="S84" s="10"/>
      <c r="T84" s="81">
        <v>0</v>
      </c>
      <c r="U84" s="81">
        <v>0</v>
      </c>
      <c r="V84" s="10"/>
      <c r="W84" s="81">
        <v>429.57</v>
      </c>
      <c r="X84" s="81">
        <v>0</v>
      </c>
      <c r="Y84" s="81">
        <v>429.57</v>
      </c>
      <c r="Z84" s="10"/>
      <c r="AA84" s="81">
        <f t="shared" si="6"/>
        <v>2948.4300000000003</v>
      </c>
      <c r="AB84" s="10"/>
      <c r="AC84" s="219">
        <f t="shared" si="7"/>
        <v>2701.03</v>
      </c>
      <c r="AD84" s="219">
        <f t="shared" si="8"/>
        <v>99.599999999999866</v>
      </c>
      <c r="AE84" s="219">
        <f t="shared" si="9"/>
        <v>2601.4300000000003</v>
      </c>
      <c r="AF84" s="219">
        <f t="shared" si="10"/>
        <v>213</v>
      </c>
      <c r="AG84" s="219">
        <f t="shared" si="11"/>
        <v>134</v>
      </c>
      <c r="AH84" s="219"/>
    </row>
    <row r="85" spans="1:34" x14ac:dyDescent="0.2">
      <c r="A85" s="376">
        <v>15750</v>
      </c>
      <c r="B85" s="376" t="s">
        <v>218</v>
      </c>
      <c r="C85" s="376" t="s">
        <v>125</v>
      </c>
      <c r="D85" s="404" t="s">
        <v>2</v>
      </c>
      <c r="E85" s="113"/>
      <c r="F85" s="81">
        <v>1479.6</v>
      </c>
      <c r="G85" s="81">
        <v>0</v>
      </c>
      <c r="H85" s="81">
        <v>1479.6</v>
      </c>
      <c r="I85" s="10"/>
      <c r="J85" s="81">
        <v>58</v>
      </c>
      <c r="K85" s="81">
        <v>0</v>
      </c>
      <c r="L85" s="128"/>
      <c r="M85" s="81">
        <v>0</v>
      </c>
      <c r="N85" s="81">
        <v>496</v>
      </c>
      <c r="O85" s="10"/>
      <c r="P85" s="81">
        <v>1227.8899999999999</v>
      </c>
      <c r="Q85" s="81">
        <v>19.079999999999998</v>
      </c>
      <c r="R85" s="81">
        <v>1208.81</v>
      </c>
      <c r="S85" s="10"/>
      <c r="T85" s="81">
        <v>0</v>
      </c>
      <c r="U85" s="81">
        <v>0</v>
      </c>
      <c r="V85" s="10"/>
      <c r="W85" s="81">
        <v>103</v>
      </c>
      <c r="X85" s="81">
        <v>24</v>
      </c>
      <c r="Y85" s="81">
        <v>79</v>
      </c>
      <c r="Z85" s="10"/>
      <c r="AA85" s="81">
        <f t="shared" si="6"/>
        <v>3321.41</v>
      </c>
      <c r="AB85" s="10"/>
      <c r="AC85" s="219">
        <f t="shared" si="7"/>
        <v>2810.49</v>
      </c>
      <c r="AD85" s="219">
        <f t="shared" si="8"/>
        <v>43.08</v>
      </c>
      <c r="AE85" s="219">
        <f t="shared" si="9"/>
        <v>2767.41</v>
      </c>
      <c r="AF85" s="219">
        <f t="shared" si="10"/>
        <v>58</v>
      </c>
      <c r="AG85" s="219">
        <f t="shared" si="11"/>
        <v>496</v>
      </c>
      <c r="AH85" s="219"/>
    </row>
    <row r="86" spans="1:34" x14ac:dyDescent="0.2">
      <c r="A86" s="376">
        <v>15800</v>
      </c>
      <c r="B86" s="376" t="s">
        <v>219</v>
      </c>
      <c r="C86" s="376" t="s">
        <v>705</v>
      </c>
      <c r="D86" s="404" t="s">
        <v>2</v>
      </c>
      <c r="E86" s="113"/>
      <c r="F86" s="81">
        <v>1050</v>
      </c>
      <c r="G86" s="81">
        <v>0</v>
      </c>
      <c r="H86" s="81">
        <v>1050</v>
      </c>
      <c r="I86" s="10"/>
      <c r="J86" s="81">
        <v>16.18</v>
      </c>
      <c r="K86" s="81">
        <v>0</v>
      </c>
      <c r="L86" s="128"/>
      <c r="M86" s="81">
        <v>0</v>
      </c>
      <c r="N86" s="81">
        <v>0</v>
      </c>
      <c r="O86" s="10"/>
      <c r="P86" s="81">
        <v>0</v>
      </c>
      <c r="Q86" s="81">
        <v>0</v>
      </c>
      <c r="R86" s="81">
        <v>0</v>
      </c>
      <c r="S86" s="10"/>
      <c r="T86" s="81">
        <v>0</v>
      </c>
      <c r="U86" s="81">
        <v>0</v>
      </c>
      <c r="V86" s="10"/>
      <c r="W86" s="81">
        <v>0</v>
      </c>
      <c r="X86" s="81">
        <v>0</v>
      </c>
      <c r="Y86" s="81">
        <v>0</v>
      </c>
      <c r="Z86" s="10"/>
      <c r="AA86" s="81">
        <f t="shared" si="6"/>
        <v>1066.18</v>
      </c>
      <c r="AB86" s="10"/>
      <c r="AC86" s="219">
        <f t="shared" si="7"/>
        <v>1050</v>
      </c>
      <c r="AD86" s="219">
        <f t="shared" si="8"/>
        <v>0</v>
      </c>
      <c r="AE86" s="219">
        <f t="shared" si="9"/>
        <v>1050</v>
      </c>
      <c r="AF86" s="219">
        <f t="shared" si="10"/>
        <v>16.18</v>
      </c>
      <c r="AG86" s="219">
        <f t="shared" si="11"/>
        <v>0</v>
      </c>
      <c r="AH86" s="219"/>
    </row>
    <row r="87" spans="1:34" x14ac:dyDescent="0.2">
      <c r="A87" s="376">
        <v>15850</v>
      </c>
      <c r="B87" s="376" t="s">
        <v>220</v>
      </c>
      <c r="C87" s="376" t="s">
        <v>293</v>
      </c>
      <c r="D87" s="404" t="s">
        <v>2</v>
      </c>
      <c r="E87" s="113"/>
      <c r="F87" s="81">
        <v>2145</v>
      </c>
      <c r="G87" s="81">
        <v>0</v>
      </c>
      <c r="H87" s="81">
        <v>2145</v>
      </c>
      <c r="I87" s="10"/>
      <c r="J87" s="81">
        <v>48.5</v>
      </c>
      <c r="K87" s="81">
        <v>0</v>
      </c>
      <c r="L87" s="128"/>
      <c r="M87" s="81">
        <v>0</v>
      </c>
      <c r="N87" s="81">
        <v>0</v>
      </c>
      <c r="O87" s="10"/>
      <c r="P87" s="81">
        <v>21</v>
      </c>
      <c r="Q87" s="81">
        <v>0</v>
      </c>
      <c r="R87" s="81">
        <v>21</v>
      </c>
      <c r="S87" s="10"/>
      <c r="T87" s="81">
        <v>0</v>
      </c>
      <c r="U87" s="81">
        <v>0</v>
      </c>
      <c r="V87" s="10"/>
      <c r="W87" s="81">
        <v>0</v>
      </c>
      <c r="X87" s="81">
        <v>0</v>
      </c>
      <c r="Y87" s="81">
        <v>0</v>
      </c>
      <c r="Z87" s="10"/>
      <c r="AA87" s="81">
        <f t="shared" si="6"/>
        <v>2214.5</v>
      </c>
      <c r="AB87" s="10"/>
      <c r="AC87" s="219">
        <f t="shared" si="7"/>
        <v>2166</v>
      </c>
      <c r="AD87" s="219">
        <f t="shared" si="8"/>
        <v>0</v>
      </c>
      <c r="AE87" s="219">
        <f t="shared" si="9"/>
        <v>2166</v>
      </c>
      <c r="AF87" s="219">
        <f t="shared" si="10"/>
        <v>48.5</v>
      </c>
      <c r="AG87" s="219">
        <f t="shared" si="11"/>
        <v>0</v>
      </c>
      <c r="AH87" s="219"/>
    </row>
    <row r="88" spans="1:34" x14ac:dyDescent="0.2">
      <c r="A88" s="376">
        <v>15900</v>
      </c>
      <c r="B88" s="376" t="s">
        <v>221</v>
      </c>
      <c r="C88" s="376" t="s">
        <v>163</v>
      </c>
      <c r="D88" s="404" t="s">
        <v>3</v>
      </c>
      <c r="E88" s="113"/>
      <c r="F88" s="81">
        <v>36608.5</v>
      </c>
      <c r="G88" s="81">
        <v>0</v>
      </c>
      <c r="H88" s="81">
        <v>36608.5</v>
      </c>
      <c r="I88" s="10"/>
      <c r="J88" s="81">
        <v>915.37</v>
      </c>
      <c r="K88" s="81">
        <v>269</v>
      </c>
      <c r="L88" s="128"/>
      <c r="M88" s="81">
        <v>118.56</v>
      </c>
      <c r="N88" s="81">
        <v>27.39</v>
      </c>
      <c r="O88" s="10"/>
      <c r="P88" s="81">
        <v>11439.380000000001</v>
      </c>
      <c r="Q88" s="81">
        <v>2064.4200000000023</v>
      </c>
      <c r="R88" s="81">
        <v>9374.9599999999991</v>
      </c>
      <c r="S88" s="10"/>
      <c r="T88" s="81">
        <v>0</v>
      </c>
      <c r="U88" s="81">
        <v>0</v>
      </c>
      <c r="V88" s="10"/>
      <c r="W88" s="81">
        <v>2645.96</v>
      </c>
      <c r="X88" s="81">
        <v>0</v>
      </c>
      <c r="Y88" s="81">
        <v>2645.96</v>
      </c>
      <c r="Z88" s="10"/>
      <c r="AA88" s="81">
        <f t="shared" si="6"/>
        <v>49959.74</v>
      </c>
      <c r="AB88" s="10"/>
      <c r="AC88" s="219">
        <f t="shared" si="7"/>
        <v>50693.840000000004</v>
      </c>
      <c r="AD88" s="219">
        <f t="shared" si="8"/>
        <v>2064.4200000000023</v>
      </c>
      <c r="AE88" s="219">
        <f t="shared" si="9"/>
        <v>48629.42</v>
      </c>
      <c r="AF88" s="219">
        <f t="shared" si="10"/>
        <v>1033.93</v>
      </c>
      <c r="AG88" s="219">
        <f t="shared" si="11"/>
        <v>296.39</v>
      </c>
      <c r="AH88" s="219"/>
    </row>
    <row r="89" spans="1:34" x14ac:dyDescent="0.2">
      <c r="A89" s="376">
        <v>15950</v>
      </c>
      <c r="B89" s="376" t="s">
        <v>222</v>
      </c>
      <c r="C89" s="376" t="s">
        <v>190</v>
      </c>
      <c r="D89" s="404" t="s">
        <v>4</v>
      </c>
      <c r="E89" s="113"/>
      <c r="F89" s="81">
        <v>13045.6</v>
      </c>
      <c r="G89" s="81">
        <v>7271.7999999999993</v>
      </c>
      <c r="H89" s="81">
        <v>5773.8000000000011</v>
      </c>
      <c r="I89" s="10"/>
      <c r="J89" s="81">
        <v>440.8</v>
      </c>
      <c r="K89" s="81">
        <v>0</v>
      </c>
      <c r="L89" s="128"/>
      <c r="M89" s="81">
        <v>0</v>
      </c>
      <c r="N89" s="81">
        <v>0</v>
      </c>
      <c r="O89" s="10"/>
      <c r="P89" s="81">
        <v>0</v>
      </c>
      <c r="Q89" s="81">
        <v>0</v>
      </c>
      <c r="R89" s="81">
        <v>0</v>
      </c>
      <c r="S89" s="10"/>
      <c r="T89" s="81">
        <v>0.31</v>
      </c>
      <c r="U89" s="81">
        <v>47.5</v>
      </c>
      <c r="V89" s="10"/>
      <c r="W89" s="81">
        <v>1944.2</v>
      </c>
      <c r="X89" s="81">
        <v>0</v>
      </c>
      <c r="Y89" s="81">
        <v>1944.2</v>
      </c>
      <c r="Z89" s="10"/>
      <c r="AA89" s="81">
        <f t="shared" si="6"/>
        <v>8206.6100000000024</v>
      </c>
      <c r="AB89" s="10"/>
      <c r="AC89" s="219">
        <f t="shared" si="7"/>
        <v>14989.800000000001</v>
      </c>
      <c r="AD89" s="219">
        <f t="shared" si="8"/>
        <v>7271.7999999999993</v>
      </c>
      <c r="AE89" s="219">
        <f t="shared" si="9"/>
        <v>7718.0000000000009</v>
      </c>
      <c r="AF89" s="219">
        <f t="shared" si="10"/>
        <v>441.11</v>
      </c>
      <c r="AG89" s="219">
        <f t="shared" si="11"/>
        <v>47.5</v>
      </c>
      <c r="AH89" s="219"/>
    </row>
    <row r="90" spans="1:34" x14ac:dyDescent="0.2">
      <c r="A90" s="376">
        <v>15990</v>
      </c>
      <c r="B90" s="376" t="s">
        <v>211</v>
      </c>
      <c r="C90" s="376"/>
      <c r="D90" s="404" t="s">
        <v>4</v>
      </c>
      <c r="E90" s="113"/>
      <c r="F90" s="81">
        <v>49070</v>
      </c>
      <c r="G90" s="81">
        <v>1023</v>
      </c>
      <c r="H90" s="81">
        <v>48047</v>
      </c>
      <c r="I90" s="10"/>
      <c r="J90" s="81">
        <v>2271.59</v>
      </c>
      <c r="K90" s="81">
        <v>0</v>
      </c>
      <c r="L90" s="128"/>
      <c r="M90" s="81">
        <v>0</v>
      </c>
      <c r="N90" s="81">
        <v>0</v>
      </c>
      <c r="O90" s="10"/>
      <c r="P90" s="81">
        <v>400</v>
      </c>
      <c r="Q90" s="81">
        <v>0</v>
      </c>
      <c r="R90" s="81">
        <v>400</v>
      </c>
      <c r="S90" s="10"/>
      <c r="T90" s="81">
        <v>0</v>
      </c>
      <c r="U90" s="81">
        <v>0</v>
      </c>
      <c r="V90" s="10"/>
      <c r="W90" s="81">
        <v>11201</v>
      </c>
      <c r="X90" s="81">
        <v>0</v>
      </c>
      <c r="Y90" s="81">
        <v>11201</v>
      </c>
      <c r="Z90" s="10"/>
      <c r="AA90" s="81">
        <f t="shared" si="6"/>
        <v>61919.59</v>
      </c>
      <c r="AB90" s="10"/>
      <c r="AC90" s="219">
        <f t="shared" si="7"/>
        <v>60671</v>
      </c>
      <c r="AD90" s="219">
        <f t="shared" si="8"/>
        <v>1023</v>
      </c>
      <c r="AE90" s="219">
        <f t="shared" si="9"/>
        <v>59648</v>
      </c>
      <c r="AF90" s="219">
        <f t="shared" si="10"/>
        <v>2271.59</v>
      </c>
      <c r="AG90" s="219">
        <f t="shared" si="11"/>
        <v>0</v>
      </c>
      <c r="AH90" s="219"/>
    </row>
    <row r="91" spans="1:34" x14ac:dyDescent="0.2">
      <c r="A91" s="376">
        <v>16100</v>
      </c>
      <c r="B91" s="376" t="s">
        <v>223</v>
      </c>
      <c r="C91" s="376" t="s">
        <v>293</v>
      </c>
      <c r="D91" s="404" t="s">
        <v>2</v>
      </c>
      <c r="E91" s="113"/>
      <c r="F91" s="81">
        <v>1170.3</v>
      </c>
      <c r="G91" s="81">
        <v>0</v>
      </c>
      <c r="H91" s="81">
        <v>1170.3</v>
      </c>
      <c r="I91" s="10"/>
      <c r="J91" s="81">
        <v>0</v>
      </c>
      <c r="K91" s="81">
        <v>0</v>
      </c>
      <c r="L91" s="128"/>
      <c r="M91" s="81">
        <v>0</v>
      </c>
      <c r="N91" s="81">
        <v>0</v>
      </c>
      <c r="O91" s="10"/>
      <c r="P91" s="81">
        <v>640.5</v>
      </c>
      <c r="Q91" s="81">
        <v>160.5</v>
      </c>
      <c r="R91" s="81">
        <v>480</v>
      </c>
      <c r="S91" s="10"/>
      <c r="T91" s="81">
        <v>0</v>
      </c>
      <c r="U91" s="81">
        <v>0</v>
      </c>
      <c r="V91" s="10"/>
      <c r="W91" s="81">
        <v>50</v>
      </c>
      <c r="X91" s="81">
        <v>30</v>
      </c>
      <c r="Y91" s="81">
        <v>20</v>
      </c>
      <c r="Z91" s="10"/>
      <c r="AA91" s="81">
        <f t="shared" si="6"/>
        <v>1670.3</v>
      </c>
      <c r="AB91" s="10"/>
      <c r="AC91" s="219">
        <f t="shared" si="7"/>
        <v>1860.8</v>
      </c>
      <c r="AD91" s="219">
        <f t="shared" si="8"/>
        <v>190.5</v>
      </c>
      <c r="AE91" s="219">
        <f t="shared" si="9"/>
        <v>1670.3</v>
      </c>
      <c r="AF91" s="219">
        <f t="shared" si="10"/>
        <v>0</v>
      </c>
      <c r="AG91" s="219">
        <f t="shared" si="11"/>
        <v>0</v>
      </c>
      <c r="AH91" s="219"/>
    </row>
    <row r="92" spans="1:34" x14ac:dyDescent="0.2">
      <c r="A92" s="376">
        <v>16150</v>
      </c>
      <c r="B92" s="376" t="s">
        <v>224</v>
      </c>
      <c r="C92" s="376" t="s">
        <v>293</v>
      </c>
      <c r="D92" s="404" t="s">
        <v>2</v>
      </c>
      <c r="E92" s="113"/>
      <c r="F92" s="81">
        <v>10013.27</v>
      </c>
      <c r="G92" s="81">
        <v>0</v>
      </c>
      <c r="H92" s="81">
        <v>10013.27</v>
      </c>
      <c r="I92" s="10"/>
      <c r="J92" s="81">
        <v>240.33</v>
      </c>
      <c r="K92" s="81">
        <v>35.39</v>
      </c>
      <c r="L92" s="128"/>
      <c r="M92" s="81">
        <v>12.56</v>
      </c>
      <c r="N92" s="81">
        <v>0</v>
      </c>
      <c r="O92" s="10"/>
      <c r="P92" s="81">
        <v>1912.11</v>
      </c>
      <c r="Q92" s="81">
        <v>71.210000000000136</v>
      </c>
      <c r="R92" s="81">
        <v>1840.8999999999999</v>
      </c>
      <c r="S92" s="10"/>
      <c r="T92" s="81">
        <v>0</v>
      </c>
      <c r="U92" s="81">
        <v>0</v>
      </c>
      <c r="V92" s="10"/>
      <c r="W92" s="81">
        <v>4.24</v>
      </c>
      <c r="X92" s="81">
        <v>0</v>
      </c>
      <c r="Y92" s="81">
        <v>4.24</v>
      </c>
      <c r="Z92" s="10"/>
      <c r="AA92" s="81">
        <f t="shared" si="6"/>
        <v>12146.689999999999</v>
      </c>
      <c r="AB92" s="10"/>
      <c r="AC92" s="219">
        <f t="shared" si="7"/>
        <v>11929.62</v>
      </c>
      <c r="AD92" s="219">
        <f t="shared" si="8"/>
        <v>71.210000000000136</v>
      </c>
      <c r="AE92" s="219">
        <f t="shared" si="9"/>
        <v>11858.41</v>
      </c>
      <c r="AF92" s="219">
        <f t="shared" si="10"/>
        <v>252.89000000000001</v>
      </c>
      <c r="AG92" s="219">
        <f t="shared" si="11"/>
        <v>35.39</v>
      </c>
      <c r="AH92" s="219"/>
    </row>
    <row r="93" spans="1:34" x14ac:dyDescent="0.2">
      <c r="A93" s="376">
        <v>16200</v>
      </c>
      <c r="B93" s="376" t="s">
        <v>226</v>
      </c>
      <c r="C93" s="376" t="s">
        <v>293</v>
      </c>
      <c r="D93" s="404" t="s">
        <v>2</v>
      </c>
      <c r="E93" s="113"/>
      <c r="F93" s="81">
        <v>2165</v>
      </c>
      <c r="G93" s="81">
        <v>0</v>
      </c>
      <c r="H93" s="81">
        <v>2165</v>
      </c>
      <c r="I93" s="10"/>
      <c r="J93" s="81">
        <v>40.729999999999997</v>
      </c>
      <c r="K93" s="81">
        <v>0</v>
      </c>
      <c r="L93" s="128"/>
      <c r="M93" s="81">
        <v>0</v>
      </c>
      <c r="N93" s="81">
        <v>0</v>
      </c>
      <c r="O93" s="10"/>
      <c r="P93" s="81">
        <v>37.44</v>
      </c>
      <c r="Q93" s="81">
        <v>37.44</v>
      </c>
      <c r="R93" s="81">
        <v>0</v>
      </c>
      <c r="S93" s="10"/>
      <c r="T93" s="81">
        <v>0</v>
      </c>
      <c r="U93" s="81">
        <v>0</v>
      </c>
      <c r="V93" s="10"/>
      <c r="W93" s="81">
        <v>29</v>
      </c>
      <c r="X93" s="81">
        <v>0</v>
      </c>
      <c r="Y93" s="81">
        <v>29</v>
      </c>
      <c r="Z93" s="10"/>
      <c r="AA93" s="81">
        <f t="shared" si="6"/>
        <v>2234.73</v>
      </c>
      <c r="AB93" s="10"/>
      <c r="AC93" s="219">
        <f t="shared" si="7"/>
        <v>2231.44</v>
      </c>
      <c r="AD93" s="219">
        <f t="shared" si="8"/>
        <v>37.44</v>
      </c>
      <c r="AE93" s="219">
        <f t="shared" si="9"/>
        <v>2194</v>
      </c>
      <c r="AF93" s="219">
        <f t="shared" si="10"/>
        <v>40.729999999999997</v>
      </c>
      <c r="AG93" s="219">
        <f t="shared" si="11"/>
        <v>0</v>
      </c>
      <c r="AH93" s="219"/>
    </row>
    <row r="94" spans="1:34" x14ac:dyDescent="0.2">
      <c r="A94" s="376">
        <v>16260</v>
      </c>
      <c r="B94" s="376" t="s">
        <v>227</v>
      </c>
      <c r="C94" s="376" t="s">
        <v>129</v>
      </c>
      <c r="D94" s="404" t="s">
        <v>4</v>
      </c>
      <c r="E94" s="113"/>
      <c r="F94" s="81">
        <v>38901</v>
      </c>
      <c r="G94" s="81">
        <v>22455</v>
      </c>
      <c r="H94" s="81">
        <v>16446</v>
      </c>
      <c r="I94" s="10"/>
      <c r="J94" s="81">
        <v>1737.48</v>
      </c>
      <c r="K94" s="81">
        <v>0</v>
      </c>
      <c r="L94" s="128"/>
      <c r="M94" s="81">
        <v>0</v>
      </c>
      <c r="N94" s="81">
        <v>0</v>
      </c>
      <c r="O94" s="10"/>
      <c r="P94" s="81">
        <v>37.229999999999997</v>
      </c>
      <c r="Q94" s="81">
        <v>37.229999999999997</v>
      </c>
      <c r="R94" s="81">
        <v>0</v>
      </c>
      <c r="S94" s="10"/>
      <c r="T94" s="81">
        <v>14</v>
      </c>
      <c r="U94" s="81">
        <v>18</v>
      </c>
      <c r="V94" s="10"/>
      <c r="W94" s="81">
        <v>4340</v>
      </c>
      <c r="X94" s="81">
        <v>1481</v>
      </c>
      <c r="Y94" s="81">
        <v>2859</v>
      </c>
      <c r="Z94" s="10"/>
      <c r="AA94" s="81">
        <f t="shared" si="6"/>
        <v>21074.48</v>
      </c>
      <c r="AB94" s="10"/>
      <c r="AC94" s="219">
        <f t="shared" si="7"/>
        <v>43278.23</v>
      </c>
      <c r="AD94" s="219">
        <f t="shared" si="8"/>
        <v>23973.23</v>
      </c>
      <c r="AE94" s="219">
        <f t="shared" si="9"/>
        <v>19305</v>
      </c>
      <c r="AF94" s="219">
        <f t="shared" si="10"/>
        <v>1751.48</v>
      </c>
      <c r="AG94" s="219">
        <f t="shared" si="11"/>
        <v>18</v>
      </c>
      <c r="AH94" s="219"/>
    </row>
    <row r="95" spans="1:34" x14ac:dyDescent="0.2">
      <c r="A95" s="376">
        <v>16350</v>
      </c>
      <c r="B95" s="376" t="s">
        <v>228</v>
      </c>
      <c r="C95" s="376" t="s">
        <v>129</v>
      </c>
      <c r="D95" s="404" t="s">
        <v>4</v>
      </c>
      <c r="E95" s="113"/>
      <c r="F95" s="81">
        <v>32738</v>
      </c>
      <c r="G95" s="81">
        <v>5875</v>
      </c>
      <c r="H95" s="81">
        <v>26863</v>
      </c>
      <c r="I95" s="10"/>
      <c r="J95" s="81">
        <v>1572</v>
      </c>
      <c r="K95" s="81">
        <v>1497</v>
      </c>
      <c r="L95" s="128"/>
      <c r="M95" s="81">
        <v>2.69</v>
      </c>
      <c r="N95" s="81">
        <v>0</v>
      </c>
      <c r="O95" s="10"/>
      <c r="P95" s="81">
        <v>59.81</v>
      </c>
      <c r="Q95" s="81">
        <v>59.81</v>
      </c>
      <c r="R95" s="81">
        <v>0</v>
      </c>
      <c r="S95" s="10"/>
      <c r="T95" s="81">
        <v>1011</v>
      </c>
      <c r="U95" s="81">
        <v>197</v>
      </c>
      <c r="V95" s="10"/>
      <c r="W95" s="81">
        <v>5581</v>
      </c>
      <c r="X95" s="81">
        <v>0</v>
      </c>
      <c r="Y95" s="81">
        <v>5581</v>
      </c>
      <c r="Z95" s="10"/>
      <c r="AA95" s="81">
        <f t="shared" si="6"/>
        <v>36723.69</v>
      </c>
      <c r="AB95" s="10"/>
      <c r="AC95" s="219">
        <f t="shared" si="7"/>
        <v>38378.81</v>
      </c>
      <c r="AD95" s="219">
        <f t="shared" si="8"/>
        <v>5934.81</v>
      </c>
      <c r="AE95" s="219">
        <f t="shared" si="9"/>
        <v>32444</v>
      </c>
      <c r="AF95" s="219">
        <f t="shared" si="10"/>
        <v>2585.69</v>
      </c>
      <c r="AG95" s="219">
        <f t="shared" si="11"/>
        <v>1694</v>
      </c>
      <c r="AH95" s="219"/>
    </row>
    <row r="96" spans="1:34" x14ac:dyDescent="0.2">
      <c r="A96" s="376">
        <v>16380</v>
      </c>
      <c r="B96" s="376" t="s">
        <v>187</v>
      </c>
      <c r="C96" s="376" t="s">
        <v>294</v>
      </c>
      <c r="D96" s="404" t="s">
        <v>5</v>
      </c>
      <c r="E96" s="113"/>
      <c r="F96" s="81">
        <v>10569</v>
      </c>
      <c r="G96" s="81">
        <v>0</v>
      </c>
      <c r="H96" s="81">
        <v>10569</v>
      </c>
      <c r="I96" s="10"/>
      <c r="J96" s="81">
        <v>531</v>
      </c>
      <c r="K96" s="81">
        <v>128</v>
      </c>
      <c r="L96" s="128"/>
      <c r="M96" s="81">
        <v>0</v>
      </c>
      <c r="N96" s="81">
        <v>0</v>
      </c>
      <c r="O96" s="10"/>
      <c r="P96" s="81">
        <v>14294.77</v>
      </c>
      <c r="Q96" s="81">
        <v>558.48</v>
      </c>
      <c r="R96" s="81">
        <v>13736.29</v>
      </c>
      <c r="S96" s="10"/>
      <c r="T96" s="81">
        <v>0</v>
      </c>
      <c r="U96" s="81">
        <v>0</v>
      </c>
      <c r="V96" s="10"/>
      <c r="W96" s="81">
        <v>105</v>
      </c>
      <c r="X96" s="81">
        <v>10</v>
      </c>
      <c r="Y96" s="81">
        <v>95</v>
      </c>
      <c r="Z96" s="10"/>
      <c r="AA96" s="81">
        <f t="shared" si="6"/>
        <v>25059.29</v>
      </c>
      <c r="AB96" s="10"/>
      <c r="AC96" s="219">
        <f t="shared" si="7"/>
        <v>24968.77</v>
      </c>
      <c r="AD96" s="219">
        <f t="shared" si="8"/>
        <v>568.48</v>
      </c>
      <c r="AE96" s="219">
        <f t="shared" si="9"/>
        <v>24400.29</v>
      </c>
      <c r="AF96" s="219">
        <f t="shared" si="10"/>
        <v>531</v>
      </c>
      <c r="AG96" s="219">
        <f t="shared" si="11"/>
        <v>128</v>
      </c>
      <c r="AH96" s="219"/>
    </row>
    <row r="97" spans="1:34" x14ac:dyDescent="0.2">
      <c r="A97" s="376">
        <v>16400</v>
      </c>
      <c r="B97" s="376" t="s">
        <v>229</v>
      </c>
      <c r="C97" s="376" t="s">
        <v>163</v>
      </c>
      <c r="D97" s="404" t="s">
        <v>3</v>
      </c>
      <c r="E97" s="113"/>
      <c r="F97" s="81">
        <v>27133</v>
      </c>
      <c r="G97" s="81">
        <v>13542</v>
      </c>
      <c r="H97" s="81">
        <v>13591</v>
      </c>
      <c r="I97" s="10"/>
      <c r="J97" s="81">
        <v>411</v>
      </c>
      <c r="K97" s="81">
        <v>0</v>
      </c>
      <c r="L97" s="128"/>
      <c r="M97" s="81">
        <v>0</v>
      </c>
      <c r="N97" s="81">
        <v>0</v>
      </c>
      <c r="O97" s="10"/>
      <c r="P97" s="81">
        <v>4729.2199999999993</v>
      </c>
      <c r="Q97" s="81">
        <v>707.78999999999985</v>
      </c>
      <c r="R97" s="81">
        <v>4021.43</v>
      </c>
      <c r="S97" s="10"/>
      <c r="T97" s="81">
        <v>0</v>
      </c>
      <c r="U97" s="81">
        <v>0</v>
      </c>
      <c r="V97" s="10"/>
      <c r="W97" s="81">
        <v>1952.84</v>
      </c>
      <c r="X97" s="81">
        <v>604.02</v>
      </c>
      <c r="Y97" s="81">
        <v>1348.82</v>
      </c>
      <c r="Z97" s="10"/>
      <c r="AA97" s="81">
        <f t="shared" si="6"/>
        <v>19372.25</v>
      </c>
      <c r="AB97" s="10"/>
      <c r="AC97" s="219">
        <f t="shared" si="7"/>
        <v>33815.06</v>
      </c>
      <c r="AD97" s="219">
        <f t="shared" si="8"/>
        <v>14853.81</v>
      </c>
      <c r="AE97" s="219">
        <f t="shared" si="9"/>
        <v>18961.25</v>
      </c>
      <c r="AF97" s="219">
        <f t="shared" si="10"/>
        <v>411</v>
      </c>
      <c r="AG97" s="219">
        <f t="shared" si="11"/>
        <v>0</v>
      </c>
      <c r="AH97" s="219"/>
    </row>
    <row r="98" spans="1:34" x14ac:dyDescent="0.2">
      <c r="A98" s="376">
        <v>16490</v>
      </c>
      <c r="B98" s="376" t="s">
        <v>225</v>
      </c>
      <c r="C98" s="376" t="s">
        <v>704</v>
      </c>
      <c r="D98" s="404" t="s">
        <v>2</v>
      </c>
      <c r="E98" s="113"/>
      <c r="F98" s="81">
        <v>9404.06</v>
      </c>
      <c r="G98" s="81">
        <v>0</v>
      </c>
      <c r="H98" s="81">
        <v>9404.06</v>
      </c>
      <c r="I98" s="10"/>
      <c r="J98" s="81">
        <v>267</v>
      </c>
      <c r="K98" s="81">
        <v>8.4</v>
      </c>
      <c r="L98" s="128"/>
      <c r="M98" s="81">
        <v>23</v>
      </c>
      <c r="N98" s="81">
        <v>0</v>
      </c>
      <c r="O98" s="10"/>
      <c r="P98" s="81">
        <v>3673.5499999999997</v>
      </c>
      <c r="Q98" s="81">
        <v>62.549999999999926</v>
      </c>
      <c r="R98" s="81">
        <v>3611</v>
      </c>
      <c r="S98" s="10"/>
      <c r="T98" s="81">
        <v>0</v>
      </c>
      <c r="U98" s="81">
        <v>0</v>
      </c>
      <c r="V98" s="10"/>
      <c r="W98" s="81">
        <v>348.02</v>
      </c>
      <c r="X98" s="81">
        <v>0</v>
      </c>
      <c r="Y98" s="81">
        <v>348.02</v>
      </c>
      <c r="Z98" s="10"/>
      <c r="AA98" s="81">
        <f t="shared" si="6"/>
        <v>13661.48</v>
      </c>
      <c r="AB98" s="10"/>
      <c r="AC98" s="219">
        <f t="shared" si="7"/>
        <v>13425.63</v>
      </c>
      <c r="AD98" s="219">
        <f t="shared" si="8"/>
        <v>62.549999999999926</v>
      </c>
      <c r="AE98" s="219">
        <f t="shared" si="9"/>
        <v>13363.08</v>
      </c>
      <c r="AF98" s="219">
        <f t="shared" si="10"/>
        <v>290</v>
      </c>
      <c r="AG98" s="219">
        <f t="shared" si="11"/>
        <v>8.4</v>
      </c>
      <c r="AH98" s="219"/>
    </row>
    <row r="99" spans="1:34" x14ac:dyDescent="0.2">
      <c r="A99" s="376">
        <v>16550</v>
      </c>
      <c r="B99" s="376" t="s">
        <v>230</v>
      </c>
      <c r="C99" s="376" t="s">
        <v>127</v>
      </c>
      <c r="D99" s="404" t="s">
        <v>4</v>
      </c>
      <c r="E99" s="113"/>
      <c r="F99" s="81">
        <v>27323</v>
      </c>
      <c r="G99" s="81">
        <v>10919</v>
      </c>
      <c r="H99" s="81">
        <v>16404</v>
      </c>
      <c r="I99" s="10"/>
      <c r="J99" s="81">
        <v>1400</v>
      </c>
      <c r="K99" s="81">
        <v>104</v>
      </c>
      <c r="L99" s="128"/>
      <c r="M99" s="81">
        <v>0</v>
      </c>
      <c r="N99" s="81">
        <v>0</v>
      </c>
      <c r="O99" s="10"/>
      <c r="P99" s="81">
        <v>50.19</v>
      </c>
      <c r="Q99" s="81">
        <v>50.19</v>
      </c>
      <c r="R99" s="81">
        <v>0</v>
      </c>
      <c r="S99" s="10"/>
      <c r="T99" s="81">
        <v>0</v>
      </c>
      <c r="U99" s="81">
        <v>0</v>
      </c>
      <c r="V99" s="10"/>
      <c r="W99" s="81">
        <v>3982</v>
      </c>
      <c r="X99" s="81">
        <v>100</v>
      </c>
      <c r="Y99" s="81">
        <v>3882</v>
      </c>
      <c r="Z99" s="10"/>
      <c r="AA99" s="81">
        <f t="shared" si="6"/>
        <v>21790</v>
      </c>
      <c r="AB99" s="10"/>
      <c r="AC99" s="219">
        <f t="shared" si="7"/>
        <v>31355.19</v>
      </c>
      <c r="AD99" s="219">
        <f t="shared" si="8"/>
        <v>11069.19</v>
      </c>
      <c r="AE99" s="219">
        <f t="shared" si="9"/>
        <v>20286</v>
      </c>
      <c r="AF99" s="219">
        <f t="shared" si="10"/>
        <v>1400</v>
      </c>
      <c r="AG99" s="219">
        <f t="shared" si="11"/>
        <v>104</v>
      </c>
      <c r="AH99" s="219"/>
    </row>
    <row r="100" spans="1:34" x14ac:dyDescent="0.2">
      <c r="A100" s="376">
        <v>16610</v>
      </c>
      <c r="B100" s="376" t="s">
        <v>231</v>
      </c>
      <c r="C100" s="376" t="s">
        <v>131</v>
      </c>
      <c r="D100" s="404" t="s">
        <v>5</v>
      </c>
      <c r="E100" s="113"/>
      <c r="F100" s="81">
        <v>3261</v>
      </c>
      <c r="G100" s="81">
        <v>0</v>
      </c>
      <c r="H100" s="81">
        <v>3261</v>
      </c>
      <c r="I100" s="10"/>
      <c r="J100" s="81">
        <v>8.08</v>
      </c>
      <c r="K100" s="81">
        <v>17.88</v>
      </c>
      <c r="L100" s="128"/>
      <c r="M100" s="81">
        <v>3</v>
      </c>
      <c r="N100" s="81">
        <v>0</v>
      </c>
      <c r="O100" s="10"/>
      <c r="P100" s="81">
        <v>1768</v>
      </c>
      <c r="Q100" s="81">
        <v>45</v>
      </c>
      <c r="R100" s="81">
        <v>1723</v>
      </c>
      <c r="S100" s="10"/>
      <c r="T100" s="81">
        <v>0</v>
      </c>
      <c r="U100" s="81">
        <v>0</v>
      </c>
      <c r="V100" s="10"/>
      <c r="W100" s="81">
        <v>73</v>
      </c>
      <c r="X100" s="81">
        <v>0</v>
      </c>
      <c r="Y100" s="81">
        <v>73</v>
      </c>
      <c r="Z100" s="10"/>
      <c r="AA100" s="81">
        <f t="shared" si="6"/>
        <v>5085.96</v>
      </c>
      <c r="AB100" s="10"/>
      <c r="AC100" s="219">
        <f t="shared" si="7"/>
        <v>5102</v>
      </c>
      <c r="AD100" s="219">
        <f t="shared" si="8"/>
        <v>45</v>
      </c>
      <c r="AE100" s="219">
        <f t="shared" si="9"/>
        <v>5057</v>
      </c>
      <c r="AF100" s="219">
        <f t="shared" si="10"/>
        <v>11.08</v>
      </c>
      <c r="AG100" s="219">
        <f t="shared" si="11"/>
        <v>17.88</v>
      </c>
      <c r="AH100" s="219"/>
    </row>
    <row r="101" spans="1:34" x14ac:dyDescent="0.2">
      <c r="A101" s="376">
        <v>16700</v>
      </c>
      <c r="B101" s="376" t="s">
        <v>232</v>
      </c>
      <c r="C101" s="376" t="s">
        <v>190</v>
      </c>
      <c r="D101" s="404" t="s">
        <v>4</v>
      </c>
      <c r="E101" s="113"/>
      <c r="F101" s="81">
        <v>23610.12</v>
      </c>
      <c r="G101" s="81">
        <v>0</v>
      </c>
      <c r="H101" s="81">
        <v>23610.12</v>
      </c>
      <c r="I101" s="10"/>
      <c r="J101" s="81">
        <v>448</v>
      </c>
      <c r="K101" s="81">
        <v>181</v>
      </c>
      <c r="L101" s="128"/>
      <c r="M101" s="81">
        <v>0</v>
      </c>
      <c r="N101" s="81">
        <v>0</v>
      </c>
      <c r="O101" s="10"/>
      <c r="P101" s="81">
        <v>0.85</v>
      </c>
      <c r="Q101" s="81">
        <v>0.85</v>
      </c>
      <c r="R101" s="81">
        <v>0</v>
      </c>
      <c r="S101" s="10"/>
      <c r="T101" s="81">
        <v>0</v>
      </c>
      <c r="U101" s="81">
        <v>0</v>
      </c>
      <c r="V101" s="10"/>
      <c r="W101" s="81">
        <v>3878</v>
      </c>
      <c r="X101" s="81">
        <v>504</v>
      </c>
      <c r="Y101" s="81">
        <v>3374</v>
      </c>
      <c r="Z101" s="10"/>
      <c r="AA101" s="81">
        <f t="shared" si="6"/>
        <v>27613.119999999999</v>
      </c>
      <c r="AB101" s="10"/>
      <c r="AC101" s="219">
        <f t="shared" si="7"/>
        <v>27488.969999999998</v>
      </c>
      <c r="AD101" s="219">
        <f t="shared" si="8"/>
        <v>504.85</v>
      </c>
      <c r="AE101" s="219">
        <f t="shared" si="9"/>
        <v>26984.12</v>
      </c>
      <c r="AF101" s="219">
        <f t="shared" si="10"/>
        <v>448</v>
      </c>
      <c r="AG101" s="219">
        <f t="shared" si="11"/>
        <v>181</v>
      </c>
      <c r="AH101" s="219"/>
    </row>
    <row r="102" spans="1:34" x14ac:dyDescent="0.2">
      <c r="A102" s="376">
        <v>16900</v>
      </c>
      <c r="B102" s="376" t="s">
        <v>233</v>
      </c>
      <c r="C102" s="376" t="s">
        <v>291</v>
      </c>
      <c r="D102" s="404" t="s">
        <v>3</v>
      </c>
      <c r="E102" s="113"/>
      <c r="F102" s="81">
        <v>12529.48</v>
      </c>
      <c r="G102" s="81">
        <v>0</v>
      </c>
      <c r="H102" s="81">
        <v>12529.48</v>
      </c>
      <c r="I102" s="10"/>
      <c r="J102" s="81">
        <v>502.65</v>
      </c>
      <c r="K102" s="81">
        <v>106.38</v>
      </c>
      <c r="L102" s="128"/>
      <c r="M102" s="81">
        <v>0</v>
      </c>
      <c r="N102" s="81">
        <v>0</v>
      </c>
      <c r="O102" s="10"/>
      <c r="P102" s="81">
        <v>10819.869999999999</v>
      </c>
      <c r="Q102" s="81">
        <v>35.22</v>
      </c>
      <c r="R102" s="81">
        <v>10784.65</v>
      </c>
      <c r="S102" s="10"/>
      <c r="T102" s="81">
        <v>0</v>
      </c>
      <c r="U102" s="81">
        <v>0</v>
      </c>
      <c r="V102" s="10"/>
      <c r="W102" s="81">
        <v>128.24</v>
      </c>
      <c r="X102" s="81">
        <v>0</v>
      </c>
      <c r="Y102" s="81">
        <v>128.24</v>
      </c>
      <c r="Z102" s="10"/>
      <c r="AA102" s="81">
        <f t="shared" si="6"/>
        <v>24051.399999999998</v>
      </c>
      <c r="AB102" s="10"/>
      <c r="AC102" s="219">
        <f t="shared" si="7"/>
        <v>23477.59</v>
      </c>
      <c r="AD102" s="219">
        <f t="shared" si="8"/>
        <v>35.22</v>
      </c>
      <c r="AE102" s="219">
        <f t="shared" si="9"/>
        <v>23442.37</v>
      </c>
      <c r="AF102" s="219">
        <f t="shared" si="10"/>
        <v>502.65</v>
      </c>
      <c r="AG102" s="219">
        <f t="shared" si="11"/>
        <v>106.38</v>
      </c>
      <c r="AH102" s="219"/>
    </row>
    <row r="103" spans="1:34" x14ac:dyDescent="0.2">
      <c r="A103" s="376">
        <v>16950</v>
      </c>
      <c r="B103" s="376" t="s">
        <v>234</v>
      </c>
      <c r="C103" s="376" t="s">
        <v>291</v>
      </c>
      <c r="D103" s="404" t="s">
        <v>3</v>
      </c>
      <c r="E103" s="113"/>
      <c r="F103" s="81">
        <v>27203</v>
      </c>
      <c r="G103" s="81">
        <v>0</v>
      </c>
      <c r="H103" s="81">
        <v>27203</v>
      </c>
      <c r="I103" s="10"/>
      <c r="J103" s="81">
        <v>636</v>
      </c>
      <c r="K103" s="81">
        <v>0</v>
      </c>
      <c r="L103" s="128"/>
      <c r="M103" s="81">
        <v>0</v>
      </c>
      <c r="N103" s="81">
        <v>0</v>
      </c>
      <c r="O103" s="10"/>
      <c r="P103" s="81">
        <v>3385.2000000000003</v>
      </c>
      <c r="Q103" s="81">
        <v>59.300000000000004</v>
      </c>
      <c r="R103" s="81">
        <v>3325.9</v>
      </c>
      <c r="S103" s="10"/>
      <c r="T103" s="81">
        <v>0</v>
      </c>
      <c r="U103" s="81">
        <v>0</v>
      </c>
      <c r="V103" s="10"/>
      <c r="W103" s="81">
        <v>7903.1</v>
      </c>
      <c r="X103" s="81">
        <v>978.2000000000005</v>
      </c>
      <c r="Y103" s="81">
        <v>6924.9</v>
      </c>
      <c r="Z103" s="10"/>
      <c r="AA103" s="81">
        <f t="shared" si="6"/>
        <v>38089.800000000003</v>
      </c>
      <c r="AB103" s="10"/>
      <c r="AC103" s="219">
        <f t="shared" si="7"/>
        <v>38491.300000000003</v>
      </c>
      <c r="AD103" s="219">
        <f t="shared" si="8"/>
        <v>1037.5000000000005</v>
      </c>
      <c r="AE103" s="219">
        <f t="shared" si="9"/>
        <v>37453.800000000003</v>
      </c>
      <c r="AF103" s="219">
        <f t="shared" si="10"/>
        <v>636</v>
      </c>
      <c r="AG103" s="219">
        <f t="shared" si="11"/>
        <v>0</v>
      </c>
      <c r="AH103" s="219"/>
    </row>
    <row r="104" spans="1:34" x14ac:dyDescent="0.2">
      <c r="A104" s="376">
        <v>17000</v>
      </c>
      <c r="B104" s="376" t="s">
        <v>235</v>
      </c>
      <c r="C104" s="376" t="s">
        <v>163</v>
      </c>
      <c r="D104" s="404" t="s">
        <v>5</v>
      </c>
      <c r="E104" s="113"/>
      <c r="F104" s="81">
        <v>6338.15</v>
      </c>
      <c r="G104" s="81">
        <v>0</v>
      </c>
      <c r="H104" s="81">
        <v>6338.15</v>
      </c>
      <c r="I104" s="10"/>
      <c r="J104" s="81">
        <v>43.64</v>
      </c>
      <c r="K104" s="81">
        <v>0</v>
      </c>
      <c r="L104" s="128"/>
      <c r="M104" s="81">
        <v>0</v>
      </c>
      <c r="N104" s="81">
        <v>0</v>
      </c>
      <c r="O104" s="10"/>
      <c r="P104" s="81">
        <v>1440.99</v>
      </c>
      <c r="Q104" s="81">
        <v>438.99000000000007</v>
      </c>
      <c r="R104" s="81">
        <v>1002</v>
      </c>
      <c r="S104" s="10"/>
      <c r="T104" s="81">
        <v>0</v>
      </c>
      <c r="U104" s="81">
        <v>0</v>
      </c>
      <c r="V104" s="10"/>
      <c r="W104" s="81">
        <v>351.6</v>
      </c>
      <c r="X104" s="81">
        <v>0</v>
      </c>
      <c r="Y104" s="81">
        <v>351.6</v>
      </c>
      <c r="Z104" s="10"/>
      <c r="AA104" s="81">
        <f t="shared" si="6"/>
        <v>7735.39</v>
      </c>
      <c r="AB104" s="10"/>
      <c r="AC104" s="219">
        <f t="shared" si="7"/>
        <v>8130.74</v>
      </c>
      <c r="AD104" s="219">
        <f t="shared" si="8"/>
        <v>438.99000000000007</v>
      </c>
      <c r="AE104" s="219">
        <f t="shared" si="9"/>
        <v>7691.75</v>
      </c>
      <c r="AF104" s="219">
        <f t="shared" si="10"/>
        <v>43.64</v>
      </c>
      <c r="AG104" s="219">
        <f t="shared" si="11"/>
        <v>0</v>
      </c>
      <c r="AH104" s="219"/>
    </row>
    <row r="105" spans="1:34" x14ac:dyDescent="0.2">
      <c r="A105" s="376">
        <v>17040</v>
      </c>
      <c r="B105" s="376" t="s">
        <v>147</v>
      </c>
      <c r="C105" s="376" t="s">
        <v>704</v>
      </c>
      <c r="D105" s="404" t="s">
        <v>2</v>
      </c>
      <c r="E105" s="113"/>
      <c r="F105" s="81">
        <v>2490.36</v>
      </c>
      <c r="G105" s="81">
        <v>0</v>
      </c>
      <c r="H105" s="81">
        <v>2490.36</v>
      </c>
      <c r="I105" s="10"/>
      <c r="J105" s="81">
        <v>2</v>
      </c>
      <c r="K105" s="81">
        <v>7</v>
      </c>
      <c r="L105" s="128"/>
      <c r="M105" s="81">
        <v>1.5</v>
      </c>
      <c r="N105" s="81">
        <v>4</v>
      </c>
      <c r="O105" s="10"/>
      <c r="P105" s="81">
        <v>1679.4</v>
      </c>
      <c r="Q105" s="81">
        <v>14.009999999999891</v>
      </c>
      <c r="R105" s="81">
        <v>1665.39</v>
      </c>
      <c r="S105" s="10"/>
      <c r="T105" s="81">
        <v>0</v>
      </c>
      <c r="U105" s="81">
        <v>0</v>
      </c>
      <c r="V105" s="10"/>
      <c r="W105" s="81">
        <v>0</v>
      </c>
      <c r="X105" s="81">
        <v>0</v>
      </c>
      <c r="Y105" s="81">
        <v>0</v>
      </c>
      <c r="Z105" s="10"/>
      <c r="AA105" s="81">
        <f t="shared" si="6"/>
        <v>4170.25</v>
      </c>
      <c r="AB105" s="10"/>
      <c r="AC105" s="219">
        <f t="shared" si="7"/>
        <v>4169.76</v>
      </c>
      <c r="AD105" s="219">
        <f t="shared" si="8"/>
        <v>14.009999999999891</v>
      </c>
      <c r="AE105" s="219">
        <f t="shared" si="9"/>
        <v>4155.75</v>
      </c>
      <c r="AF105" s="219">
        <f t="shared" si="10"/>
        <v>3.5</v>
      </c>
      <c r="AG105" s="219">
        <f t="shared" si="11"/>
        <v>11</v>
      </c>
      <c r="AH105" s="219"/>
    </row>
    <row r="106" spans="1:34" x14ac:dyDescent="0.2">
      <c r="A106" s="376">
        <v>17080</v>
      </c>
      <c r="B106" s="376" t="s">
        <v>242</v>
      </c>
      <c r="C106" s="376" t="s">
        <v>142</v>
      </c>
      <c r="D106" s="404" t="s">
        <v>2</v>
      </c>
      <c r="E106" s="113"/>
      <c r="F106" s="81">
        <v>3481.9</v>
      </c>
      <c r="G106" s="81">
        <v>0</v>
      </c>
      <c r="H106" s="81">
        <v>3481.9</v>
      </c>
      <c r="I106" s="10"/>
      <c r="J106" s="81">
        <v>97.55</v>
      </c>
      <c r="K106" s="81">
        <v>0</v>
      </c>
      <c r="L106" s="128"/>
      <c r="M106" s="81">
        <v>0</v>
      </c>
      <c r="N106" s="81">
        <v>0</v>
      </c>
      <c r="O106" s="10"/>
      <c r="P106" s="81">
        <v>0</v>
      </c>
      <c r="Q106" s="81">
        <v>0</v>
      </c>
      <c r="R106" s="81">
        <v>0</v>
      </c>
      <c r="S106" s="10"/>
      <c r="T106" s="81">
        <v>0</v>
      </c>
      <c r="U106" s="81">
        <v>0</v>
      </c>
      <c r="V106" s="10"/>
      <c r="W106" s="81">
        <v>0</v>
      </c>
      <c r="X106" s="81">
        <v>0</v>
      </c>
      <c r="Y106" s="81">
        <v>0</v>
      </c>
      <c r="Z106" s="10"/>
      <c r="AA106" s="81">
        <f t="shared" si="6"/>
        <v>3579.4500000000003</v>
      </c>
      <c r="AB106" s="10"/>
      <c r="AC106" s="219">
        <f t="shared" si="7"/>
        <v>3481.9</v>
      </c>
      <c r="AD106" s="219">
        <f t="shared" si="8"/>
        <v>0</v>
      </c>
      <c r="AE106" s="219">
        <f t="shared" si="9"/>
        <v>3481.9</v>
      </c>
      <c r="AF106" s="219">
        <f t="shared" si="10"/>
        <v>97.55</v>
      </c>
      <c r="AG106" s="219">
        <f t="shared" si="11"/>
        <v>0</v>
      </c>
      <c r="AH106" s="219"/>
    </row>
    <row r="107" spans="1:34" x14ac:dyDescent="0.2">
      <c r="A107" s="376">
        <v>17100</v>
      </c>
      <c r="B107" s="376" t="s">
        <v>236</v>
      </c>
      <c r="C107" s="376"/>
      <c r="D107" s="404" t="s">
        <v>4</v>
      </c>
      <c r="E107" s="113"/>
      <c r="F107" s="81">
        <v>9170.24</v>
      </c>
      <c r="G107" s="81">
        <v>0</v>
      </c>
      <c r="H107" s="81">
        <v>9170.24</v>
      </c>
      <c r="I107" s="10"/>
      <c r="J107" s="81">
        <v>327.94</v>
      </c>
      <c r="K107" s="81">
        <v>0</v>
      </c>
      <c r="L107" s="128"/>
      <c r="M107" s="81">
        <v>0</v>
      </c>
      <c r="N107" s="81">
        <v>0</v>
      </c>
      <c r="O107" s="10"/>
      <c r="P107" s="81">
        <v>0</v>
      </c>
      <c r="Q107" s="81">
        <v>0</v>
      </c>
      <c r="R107" s="81">
        <v>0</v>
      </c>
      <c r="S107" s="10"/>
      <c r="T107" s="81">
        <v>0</v>
      </c>
      <c r="U107" s="81">
        <v>0</v>
      </c>
      <c r="V107" s="10"/>
      <c r="W107" s="81">
        <v>700</v>
      </c>
      <c r="X107" s="81">
        <v>0</v>
      </c>
      <c r="Y107" s="81">
        <v>700</v>
      </c>
      <c r="Z107" s="10"/>
      <c r="AA107" s="81">
        <f t="shared" si="6"/>
        <v>10198.18</v>
      </c>
      <c r="AB107" s="10"/>
      <c r="AC107" s="219">
        <f t="shared" si="7"/>
        <v>9870.24</v>
      </c>
      <c r="AD107" s="219">
        <f t="shared" si="8"/>
        <v>0</v>
      </c>
      <c r="AE107" s="219">
        <f t="shared" si="9"/>
        <v>9870.24</v>
      </c>
      <c r="AF107" s="219">
        <f t="shared" si="10"/>
        <v>327.94</v>
      </c>
      <c r="AG107" s="219">
        <f t="shared" si="11"/>
        <v>0</v>
      </c>
      <c r="AH107" s="219"/>
    </row>
    <row r="108" spans="1:34" x14ac:dyDescent="0.2">
      <c r="A108" s="376">
        <v>17150</v>
      </c>
      <c r="B108" s="376" t="s">
        <v>237</v>
      </c>
      <c r="C108" s="376" t="s">
        <v>127</v>
      </c>
      <c r="D108" s="404" t="s">
        <v>4</v>
      </c>
      <c r="E108" s="113"/>
      <c r="F108" s="81">
        <v>42450</v>
      </c>
      <c r="G108" s="81">
        <v>0</v>
      </c>
      <c r="H108" s="81">
        <v>42450</v>
      </c>
      <c r="I108" s="10"/>
      <c r="J108" s="81">
        <v>2509.7600000000002</v>
      </c>
      <c r="K108" s="81">
        <v>0</v>
      </c>
      <c r="L108" s="128"/>
      <c r="M108" s="81">
        <v>0</v>
      </c>
      <c r="N108" s="81">
        <v>0</v>
      </c>
      <c r="O108" s="10"/>
      <c r="P108" s="81">
        <v>247</v>
      </c>
      <c r="Q108" s="81">
        <v>247</v>
      </c>
      <c r="R108" s="81">
        <v>0</v>
      </c>
      <c r="S108" s="10"/>
      <c r="T108" s="81">
        <v>0</v>
      </c>
      <c r="U108" s="81">
        <v>0</v>
      </c>
      <c r="V108" s="10"/>
      <c r="W108" s="81">
        <v>10150</v>
      </c>
      <c r="X108" s="81">
        <v>0</v>
      </c>
      <c r="Y108" s="81">
        <v>10150</v>
      </c>
      <c r="Z108" s="10"/>
      <c r="AA108" s="81">
        <f t="shared" si="6"/>
        <v>55109.760000000002</v>
      </c>
      <c r="AB108" s="10"/>
      <c r="AC108" s="219">
        <f t="shared" si="7"/>
        <v>52847</v>
      </c>
      <c r="AD108" s="219">
        <f t="shared" si="8"/>
        <v>247</v>
      </c>
      <c r="AE108" s="219">
        <f t="shared" si="9"/>
        <v>52600</v>
      </c>
      <c r="AF108" s="219">
        <f t="shared" si="10"/>
        <v>2509.7600000000002</v>
      </c>
      <c r="AG108" s="219">
        <f t="shared" si="11"/>
        <v>0</v>
      </c>
      <c r="AH108" s="219"/>
    </row>
    <row r="109" spans="1:34" x14ac:dyDescent="0.2">
      <c r="A109" s="376">
        <v>17200</v>
      </c>
      <c r="B109" s="376" t="s">
        <v>238</v>
      </c>
      <c r="C109" s="376" t="s">
        <v>127</v>
      </c>
      <c r="D109" s="404" t="s">
        <v>4</v>
      </c>
      <c r="E109" s="113"/>
      <c r="F109" s="81">
        <v>45062</v>
      </c>
      <c r="G109" s="81">
        <v>26052</v>
      </c>
      <c r="H109" s="81">
        <v>19010</v>
      </c>
      <c r="I109" s="10"/>
      <c r="J109" s="81">
        <v>1978.98</v>
      </c>
      <c r="K109" s="81">
        <v>0</v>
      </c>
      <c r="L109" s="128"/>
      <c r="M109" s="81">
        <v>0</v>
      </c>
      <c r="N109" s="81">
        <v>0</v>
      </c>
      <c r="O109" s="10"/>
      <c r="P109" s="81">
        <v>22</v>
      </c>
      <c r="Q109" s="81">
        <v>22</v>
      </c>
      <c r="R109" s="81">
        <v>0</v>
      </c>
      <c r="S109" s="10"/>
      <c r="T109" s="81">
        <v>0</v>
      </c>
      <c r="U109" s="81">
        <v>0</v>
      </c>
      <c r="V109" s="10"/>
      <c r="W109" s="81">
        <v>2814</v>
      </c>
      <c r="X109" s="81">
        <v>563</v>
      </c>
      <c r="Y109" s="81">
        <v>2251</v>
      </c>
      <c r="Z109" s="10"/>
      <c r="AA109" s="81">
        <f t="shared" si="6"/>
        <v>23239.98</v>
      </c>
      <c r="AB109" s="10"/>
      <c r="AC109" s="219">
        <f t="shared" si="7"/>
        <v>47898</v>
      </c>
      <c r="AD109" s="219">
        <f t="shared" si="8"/>
        <v>26637</v>
      </c>
      <c r="AE109" s="219">
        <f t="shared" si="9"/>
        <v>21261</v>
      </c>
      <c r="AF109" s="219">
        <f t="shared" si="10"/>
        <v>1978.98</v>
      </c>
      <c r="AG109" s="219">
        <f t="shared" si="11"/>
        <v>0</v>
      </c>
      <c r="AH109" s="219"/>
    </row>
    <row r="110" spans="1:34" x14ac:dyDescent="0.2">
      <c r="A110" s="376">
        <v>17310</v>
      </c>
      <c r="B110" s="376" t="s">
        <v>239</v>
      </c>
      <c r="C110" s="376" t="s">
        <v>125</v>
      </c>
      <c r="D110" s="404" t="s">
        <v>2</v>
      </c>
      <c r="E110" s="113"/>
      <c r="F110" s="81">
        <v>13602.3</v>
      </c>
      <c r="G110" s="81">
        <v>0</v>
      </c>
      <c r="H110" s="81">
        <v>13602.3</v>
      </c>
      <c r="I110" s="10"/>
      <c r="J110" s="81">
        <v>668</v>
      </c>
      <c r="K110" s="81">
        <v>25.2</v>
      </c>
      <c r="L110" s="128"/>
      <c r="M110" s="81">
        <v>0</v>
      </c>
      <c r="N110" s="81">
        <v>0</v>
      </c>
      <c r="O110" s="10"/>
      <c r="P110" s="81">
        <v>0</v>
      </c>
      <c r="Q110" s="81">
        <v>0</v>
      </c>
      <c r="R110" s="81">
        <v>0</v>
      </c>
      <c r="S110" s="10"/>
      <c r="T110" s="81">
        <v>0</v>
      </c>
      <c r="U110" s="81">
        <v>0</v>
      </c>
      <c r="V110" s="10"/>
      <c r="W110" s="81">
        <v>518</v>
      </c>
      <c r="X110" s="81">
        <v>0</v>
      </c>
      <c r="Y110" s="81">
        <v>518</v>
      </c>
      <c r="Z110" s="10"/>
      <c r="AA110" s="81">
        <f t="shared" si="6"/>
        <v>14813.5</v>
      </c>
      <c r="AB110" s="10"/>
      <c r="AC110" s="219">
        <f t="shared" si="7"/>
        <v>14120.3</v>
      </c>
      <c r="AD110" s="219">
        <f t="shared" si="8"/>
        <v>0</v>
      </c>
      <c r="AE110" s="219">
        <f t="shared" si="9"/>
        <v>14120.3</v>
      </c>
      <c r="AF110" s="219">
        <f t="shared" si="10"/>
        <v>668</v>
      </c>
      <c r="AG110" s="219">
        <f t="shared" si="11"/>
        <v>25.2</v>
      </c>
      <c r="AH110" s="219"/>
    </row>
    <row r="111" spans="1:34" x14ac:dyDescent="0.2">
      <c r="A111" s="376">
        <v>17350</v>
      </c>
      <c r="B111" s="376" t="s">
        <v>240</v>
      </c>
      <c r="C111" s="376" t="s">
        <v>142</v>
      </c>
      <c r="D111" s="404" t="s">
        <v>2</v>
      </c>
      <c r="E111" s="113"/>
      <c r="F111" s="81">
        <v>2310</v>
      </c>
      <c r="G111" s="81">
        <v>0</v>
      </c>
      <c r="H111" s="81">
        <v>2310</v>
      </c>
      <c r="I111" s="10"/>
      <c r="J111" s="81">
        <v>0</v>
      </c>
      <c r="K111" s="81">
        <v>0</v>
      </c>
      <c r="L111" s="128"/>
      <c r="M111" s="81">
        <v>0</v>
      </c>
      <c r="N111" s="81">
        <v>0</v>
      </c>
      <c r="O111" s="10"/>
      <c r="P111" s="81">
        <v>226</v>
      </c>
      <c r="Q111" s="81">
        <v>221</v>
      </c>
      <c r="R111" s="81">
        <v>5</v>
      </c>
      <c r="S111" s="10"/>
      <c r="T111" s="81">
        <v>0</v>
      </c>
      <c r="U111" s="81">
        <v>10</v>
      </c>
      <c r="V111" s="10"/>
      <c r="W111" s="81">
        <v>35</v>
      </c>
      <c r="X111" s="81">
        <v>0</v>
      </c>
      <c r="Y111" s="81">
        <v>35</v>
      </c>
      <c r="Z111" s="10"/>
      <c r="AA111" s="81">
        <f t="shared" si="6"/>
        <v>2360</v>
      </c>
      <c r="AB111" s="10"/>
      <c r="AC111" s="219">
        <f t="shared" si="7"/>
        <v>2571</v>
      </c>
      <c r="AD111" s="219">
        <f t="shared" si="8"/>
        <v>221</v>
      </c>
      <c r="AE111" s="219">
        <f t="shared" si="9"/>
        <v>2350</v>
      </c>
      <c r="AF111" s="219">
        <f t="shared" si="10"/>
        <v>0</v>
      </c>
      <c r="AG111" s="219">
        <f t="shared" si="11"/>
        <v>10</v>
      </c>
      <c r="AH111" s="219"/>
    </row>
    <row r="112" spans="1:34" x14ac:dyDescent="0.2">
      <c r="A112" s="376">
        <v>17400</v>
      </c>
      <c r="B112" s="376" t="s">
        <v>241</v>
      </c>
      <c r="C112" s="376" t="s">
        <v>125</v>
      </c>
      <c r="D112" s="404" t="s">
        <v>2</v>
      </c>
      <c r="E112" s="113"/>
      <c r="F112" s="81">
        <v>1729</v>
      </c>
      <c r="G112" s="81">
        <v>0</v>
      </c>
      <c r="H112" s="81">
        <v>1729</v>
      </c>
      <c r="I112" s="10"/>
      <c r="J112" s="81">
        <v>22.59</v>
      </c>
      <c r="K112" s="81">
        <v>0</v>
      </c>
      <c r="L112" s="128"/>
      <c r="M112" s="81">
        <v>0</v>
      </c>
      <c r="N112" s="81">
        <v>0</v>
      </c>
      <c r="O112" s="10"/>
      <c r="P112" s="81">
        <v>0</v>
      </c>
      <c r="Q112" s="81">
        <v>0</v>
      </c>
      <c r="R112" s="81">
        <v>0</v>
      </c>
      <c r="S112" s="10"/>
      <c r="T112" s="81">
        <v>0</v>
      </c>
      <c r="U112" s="81">
        <v>0</v>
      </c>
      <c r="V112" s="10"/>
      <c r="W112" s="81">
        <v>0</v>
      </c>
      <c r="X112" s="81">
        <v>0</v>
      </c>
      <c r="Y112" s="81">
        <v>0</v>
      </c>
      <c r="Z112" s="10"/>
      <c r="AA112" s="81">
        <f t="shared" si="6"/>
        <v>1751.59</v>
      </c>
      <c r="AB112" s="10"/>
      <c r="AC112" s="219">
        <f t="shared" si="7"/>
        <v>1729</v>
      </c>
      <c r="AD112" s="219">
        <f t="shared" si="8"/>
        <v>0</v>
      </c>
      <c r="AE112" s="219">
        <f t="shared" si="9"/>
        <v>1729</v>
      </c>
      <c r="AF112" s="219">
        <f t="shared" si="10"/>
        <v>22.59</v>
      </c>
      <c r="AG112" s="219">
        <f t="shared" si="11"/>
        <v>0</v>
      </c>
      <c r="AH112" s="219"/>
    </row>
    <row r="113" spans="1:34" x14ac:dyDescent="0.2">
      <c r="A113" s="376">
        <v>17420</v>
      </c>
      <c r="B113" s="376" t="s">
        <v>136</v>
      </c>
      <c r="C113" s="376" t="s">
        <v>129</v>
      </c>
      <c r="D113" s="404" t="s">
        <v>4</v>
      </c>
      <c r="E113" s="113"/>
      <c r="F113" s="81">
        <v>42098.74</v>
      </c>
      <c r="G113" s="81">
        <v>0</v>
      </c>
      <c r="H113" s="81">
        <v>42098.74</v>
      </c>
      <c r="I113" s="10"/>
      <c r="J113" s="81">
        <v>835.86</v>
      </c>
      <c r="K113" s="81">
        <v>113.06</v>
      </c>
      <c r="L113" s="128"/>
      <c r="M113" s="81">
        <v>0</v>
      </c>
      <c r="N113" s="81">
        <v>0</v>
      </c>
      <c r="O113" s="10"/>
      <c r="P113" s="81">
        <v>0</v>
      </c>
      <c r="Q113" s="81">
        <v>0</v>
      </c>
      <c r="R113" s="81">
        <v>0</v>
      </c>
      <c r="S113" s="10"/>
      <c r="T113" s="81">
        <v>1264</v>
      </c>
      <c r="U113" s="81">
        <v>0</v>
      </c>
      <c r="V113" s="10"/>
      <c r="W113" s="81">
        <v>8510.5500000000011</v>
      </c>
      <c r="X113" s="81">
        <v>21.85</v>
      </c>
      <c r="Y113" s="81">
        <v>8488.7000000000007</v>
      </c>
      <c r="Z113" s="10"/>
      <c r="AA113" s="81">
        <f t="shared" si="6"/>
        <v>52800.36</v>
      </c>
      <c r="AB113" s="10"/>
      <c r="AC113" s="219">
        <f t="shared" si="7"/>
        <v>50609.29</v>
      </c>
      <c r="AD113" s="219">
        <f t="shared" si="8"/>
        <v>21.85</v>
      </c>
      <c r="AE113" s="219">
        <f t="shared" si="9"/>
        <v>50587.44</v>
      </c>
      <c r="AF113" s="219">
        <f t="shared" si="10"/>
        <v>2099.86</v>
      </c>
      <c r="AG113" s="219">
        <f t="shared" si="11"/>
        <v>113.06</v>
      </c>
      <c r="AH113" s="219"/>
    </row>
    <row r="114" spans="1:34" x14ac:dyDescent="0.2">
      <c r="A114" s="376">
        <v>17550</v>
      </c>
      <c r="B114" s="376" t="s">
        <v>243</v>
      </c>
      <c r="C114" s="376" t="s">
        <v>131</v>
      </c>
      <c r="D114" s="404" t="s">
        <v>5</v>
      </c>
      <c r="E114" s="113"/>
      <c r="F114" s="81">
        <v>19277</v>
      </c>
      <c r="G114" s="81">
        <v>0</v>
      </c>
      <c r="H114" s="81">
        <v>19277</v>
      </c>
      <c r="I114" s="10"/>
      <c r="J114" s="81">
        <v>478</v>
      </c>
      <c r="K114" s="81">
        <v>149</v>
      </c>
      <c r="L114" s="128"/>
      <c r="M114" s="81">
        <v>0</v>
      </c>
      <c r="N114" s="81">
        <v>0</v>
      </c>
      <c r="O114" s="10"/>
      <c r="P114" s="81">
        <v>4089.02</v>
      </c>
      <c r="Q114" s="81">
        <v>0</v>
      </c>
      <c r="R114" s="81">
        <v>4089.02</v>
      </c>
      <c r="S114" s="10"/>
      <c r="T114" s="81">
        <v>0</v>
      </c>
      <c r="U114" s="81">
        <v>0</v>
      </c>
      <c r="V114" s="10"/>
      <c r="W114" s="81">
        <v>3243</v>
      </c>
      <c r="X114" s="81">
        <v>0</v>
      </c>
      <c r="Y114" s="81">
        <v>3243</v>
      </c>
      <c r="Z114" s="10"/>
      <c r="AA114" s="81">
        <f t="shared" si="6"/>
        <v>27236.02</v>
      </c>
      <c r="AB114" s="10"/>
      <c r="AC114" s="219">
        <f t="shared" si="7"/>
        <v>26609.02</v>
      </c>
      <c r="AD114" s="219">
        <f t="shared" si="8"/>
        <v>0</v>
      </c>
      <c r="AE114" s="219">
        <f t="shared" si="9"/>
        <v>26609.02</v>
      </c>
      <c r="AF114" s="219">
        <f t="shared" si="10"/>
        <v>478</v>
      </c>
      <c r="AG114" s="219">
        <f t="shared" si="11"/>
        <v>149</v>
      </c>
      <c r="AH114" s="219"/>
    </row>
    <row r="115" spans="1:34" x14ac:dyDescent="0.2">
      <c r="A115" s="376">
        <v>17620</v>
      </c>
      <c r="B115" s="376" t="s">
        <v>244</v>
      </c>
      <c r="C115" s="376" t="s">
        <v>163</v>
      </c>
      <c r="D115" s="404" t="s">
        <v>5</v>
      </c>
      <c r="E115" s="113"/>
      <c r="F115" s="81">
        <v>3425</v>
      </c>
      <c r="G115" s="81">
        <v>0</v>
      </c>
      <c r="H115" s="81">
        <v>3425</v>
      </c>
      <c r="I115" s="10"/>
      <c r="J115" s="81">
        <v>107</v>
      </c>
      <c r="K115" s="81">
        <v>0</v>
      </c>
      <c r="L115" s="128"/>
      <c r="M115" s="81">
        <v>0</v>
      </c>
      <c r="N115" s="81">
        <v>551</v>
      </c>
      <c r="O115" s="10"/>
      <c r="P115" s="81">
        <v>3656</v>
      </c>
      <c r="Q115" s="81">
        <v>1460</v>
      </c>
      <c r="R115" s="81">
        <v>2196</v>
      </c>
      <c r="S115" s="10"/>
      <c r="T115" s="81">
        <v>0</v>
      </c>
      <c r="U115" s="81">
        <v>0</v>
      </c>
      <c r="V115" s="10"/>
      <c r="W115" s="81">
        <v>100</v>
      </c>
      <c r="X115" s="81">
        <v>5</v>
      </c>
      <c r="Y115" s="81">
        <v>95</v>
      </c>
      <c r="Z115" s="10"/>
      <c r="AA115" s="81">
        <f t="shared" si="6"/>
        <v>6374</v>
      </c>
      <c r="AB115" s="10"/>
      <c r="AC115" s="219">
        <f t="shared" si="7"/>
        <v>7181</v>
      </c>
      <c r="AD115" s="219">
        <f t="shared" si="8"/>
        <v>1465</v>
      </c>
      <c r="AE115" s="219">
        <f t="shared" si="9"/>
        <v>5716</v>
      </c>
      <c r="AF115" s="219">
        <f t="shared" si="10"/>
        <v>107</v>
      </c>
      <c r="AG115" s="219">
        <f t="shared" si="11"/>
        <v>551</v>
      </c>
      <c r="AH115" s="219"/>
    </row>
    <row r="116" spans="1:34" x14ac:dyDescent="0.2">
      <c r="A116" s="376">
        <v>17640</v>
      </c>
      <c r="B116" s="376" t="s">
        <v>245</v>
      </c>
      <c r="C116" s="376" t="s">
        <v>704</v>
      </c>
      <c r="D116" s="404" t="s">
        <v>2</v>
      </c>
      <c r="E116" s="113"/>
      <c r="F116" s="81">
        <v>1872</v>
      </c>
      <c r="G116" s="81">
        <v>0</v>
      </c>
      <c r="H116" s="81">
        <v>1872</v>
      </c>
      <c r="I116" s="10"/>
      <c r="J116" s="81">
        <v>31</v>
      </c>
      <c r="K116" s="81">
        <v>0</v>
      </c>
      <c r="L116" s="128"/>
      <c r="M116" s="81">
        <v>0</v>
      </c>
      <c r="N116" s="81">
        <v>0</v>
      </c>
      <c r="O116" s="10"/>
      <c r="P116" s="81">
        <v>0</v>
      </c>
      <c r="Q116" s="81">
        <v>0</v>
      </c>
      <c r="R116" s="81">
        <v>0</v>
      </c>
      <c r="S116" s="10"/>
      <c r="T116" s="81">
        <v>0</v>
      </c>
      <c r="U116" s="81">
        <v>0</v>
      </c>
      <c r="V116" s="10"/>
      <c r="W116" s="81">
        <v>0</v>
      </c>
      <c r="X116" s="81">
        <v>0</v>
      </c>
      <c r="Y116" s="81">
        <v>0</v>
      </c>
      <c r="Z116" s="10"/>
      <c r="AA116" s="81">
        <f t="shared" si="6"/>
        <v>1903</v>
      </c>
      <c r="AB116" s="10"/>
      <c r="AC116" s="219">
        <f t="shared" si="7"/>
        <v>1872</v>
      </c>
      <c r="AD116" s="219">
        <f t="shared" si="8"/>
        <v>0</v>
      </c>
      <c r="AE116" s="219">
        <f t="shared" si="9"/>
        <v>1872</v>
      </c>
      <c r="AF116" s="219">
        <f t="shared" si="10"/>
        <v>31</v>
      </c>
      <c r="AG116" s="219">
        <f t="shared" si="11"/>
        <v>0</v>
      </c>
      <c r="AH116" s="219"/>
    </row>
    <row r="117" spans="1:34" x14ac:dyDescent="0.2">
      <c r="A117" s="376">
        <v>17650</v>
      </c>
      <c r="B117" s="376" t="s">
        <v>246</v>
      </c>
      <c r="C117" s="376" t="s">
        <v>125</v>
      </c>
      <c r="D117" s="404" t="s">
        <v>2</v>
      </c>
      <c r="E117" s="113"/>
      <c r="F117" s="81">
        <v>1055.46</v>
      </c>
      <c r="G117" s="81">
        <v>0</v>
      </c>
      <c r="H117" s="81">
        <v>1055.46</v>
      </c>
      <c r="I117" s="10"/>
      <c r="J117" s="81">
        <v>26.16</v>
      </c>
      <c r="K117" s="81">
        <v>0</v>
      </c>
      <c r="L117" s="128"/>
      <c r="M117" s="81">
        <v>26.15</v>
      </c>
      <c r="N117" s="81">
        <v>0</v>
      </c>
      <c r="O117" s="10"/>
      <c r="P117" s="81">
        <v>0</v>
      </c>
      <c r="Q117" s="81">
        <v>0</v>
      </c>
      <c r="R117" s="81">
        <v>0</v>
      </c>
      <c r="S117" s="10"/>
      <c r="T117" s="81">
        <v>0</v>
      </c>
      <c r="U117" s="81">
        <v>0</v>
      </c>
      <c r="V117" s="10"/>
      <c r="W117" s="81">
        <v>0</v>
      </c>
      <c r="X117" s="81">
        <v>0</v>
      </c>
      <c r="Y117" s="81">
        <v>0</v>
      </c>
      <c r="Z117" s="10"/>
      <c r="AA117" s="81">
        <f t="shared" si="6"/>
        <v>1107.7700000000002</v>
      </c>
      <c r="AB117" s="10"/>
      <c r="AC117" s="219">
        <f t="shared" si="7"/>
        <v>1055.46</v>
      </c>
      <c r="AD117" s="219">
        <f t="shared" si="8"/>
        <v>0</v>
      </c>
      <c r="AE117" s="219">
        <f t="shared" si="9"/>
        <v>1055.46</v>
      </c>
      <c r="AF117" s="219">
        <f t="shared" si="10"/>
        <v>52.31</v>
      </c>
      <c r="AG117" s="219">
        <f t="shared" si="11"/>
        <v>0</v>
      </c>
      <c r="AH117" s="219"/>
    </row>
    <row r="118" spans="1:34" x14ac:dyDescent="0.2">
      <c r="A118" s="376">
        <v>17750</v>
      </c>
      <c r="B118" s="376" t="s">
        <v>247</v>
      </c>
      <c r="C118" s="376" t="s">
        <v>142</v>
      </c>
      <c r="D118" s="404" t="s">
        <v>2</v>
      </c>
      <c r="E118" s="113"/>
      <c r="F118" s="81">
        <v>11712</v>
      </c>
      <c r="G118" s="81">
        <v>0</v>
      </c>
      <c r="H118" s="81">
        <v>11712</v>
      </c>
      <c r="I118" s="10"/>
      <c r="J118" s="81">
        <v>1074.53</v>
      </c>
      <c r="K118" s="81">
        <v>6872</v>
      </c>
      <c r="L118" s="128"/>
      <c r="M118" s="81">
        <v>0</v>
      </c>
      <c r="N118" s="81">
        <v>1225</v>
      </c>
      <c r="O118" s="10"/>
      <c r="P118" s="81">
        <v>3728</v>
      </c>
      <c r="Q118" s="81">
        <v>217</v>
      </c>
      <c r="R118" s="81">
        <v>3511</v>
      </c>
      <c r="S118" s="10"/>
      <c r="T118" s="81">
        <v>0</v>
      </c>
      <c r="U118" s="81">
        <v>0</v>
      </c>
      <c r="V118" s="10"/>
      <c r="W118" s="81">
        <v>0</v>
      </c>
      <c r="X118" s="81">
        <v>0</v>
      </c>
      <c r="Y118" s="81">
        <v>0</v>
      </c>
      <c r="Z118" s="10"/>
      <c r="AA118" s="81">
        <f t="shared" si="6"/>
        <v>24394.53</v>
      </c>
      <c r="AB118" s="10"/>
      <c r="AC118" s="219">
        <f t="shared" si="7"/>
        <v>15440</v>
      </c>
      <c r="AD118" s="219">
        <f t="shared" si="8"/>
        <v>217</v>
      </c>
      <c r="AE118" s="219">
        <f t="shared" si="9"/>
        <v>15223</v>
      </c>
      <c r="AF118" s="219">
        <f t="shared" si="10"/>
        <v>1074.53</v>
      </c>
      <c r="AG118" s="219">
        <f t="shared" si="11"/>
        <v>8097</v>
      </c>
      <c r="AH118" s="219"/>
    </row>
    <row r="119" spans="1:34" x14ac:dyDescent="0.2">
      <c r="A119" s="376">
        <v>17850</v>
      </c>
      <c r="B119" s="376" t="s">
        <v>248</v>
      </c>
      <c r="C119" s="376" t="s">
        <v>125</v>
      </c>
      <c r="D119" s="404" t="s">
        <v>2</v>
      </c>
      <c r="E119" s="113"/>
      <c r="F119" s="81">
        <v>367.56</v>
      </c>
      <c r="G119" s="81">
        <v>0</v>
      </c>
      <c r="H119" s="81">
        <v>367.56</v>
      </c>
      <c r="I119" s="10"/>
      <c r="J119" s="81">
        <v>6.7</v>
      </c>
      <c r="K119" s="81">
        <v>71.88</v>
      </c>
      <c r="L119" s="128"/>
      <c r="M119" s="81">
        <v>0</v>
      </c>
      <c r="N119" s="81">
        <v>0</v>
      </c>
      <c r="O119" s="10"/>
      <c r="P119" s="81">
        <v>376.52000000000004</v>
      </c>
      <c r="Q119" s="81">
        <v>2.4700000000000228</v>
      </c>
      <c r="R119" s="81">
        <v>374.05</v>
      </c>
      <c r="S119" s="10"/>
      <c r="T119" s="81">
        <v>0</v>
      </c>
      <c r="U119" s="81">
        <v>0</v>
      </c>
      <c r="V119" s="10"/>
      <c r="W119" s="81">
        <v>0</v>
      </c>
      <c r="X119" s="81">
        <v>0</v>
      </c>
      <c r="Y119" s="81">
        <v>0</v>
      </c>
      <c r="Z119" s="10"/>
      <c r="AA119" s="81">
        <f t="shared" si="6"/>
        <v>820.19</v>
      </c>
      <c r="AB119" s="10"/>
      <c r="AC119" s="219">
        <f t="shared" si="7"/>
        <v>744.08</v>
      </c>
      <c r="AD119" s="219">
        <f t="shared" si="8"/>
        <v>2.4700000000000228</v>
      </c>
      <c r="AE119" s="219">
        <f t="shared" si="9"/>
        <v>741.61</v>
      </c>
      <c r="AF119" s="219">
        <f t="shared" si="10"/>
        <v>6.7</v>
      </c>
      <c r="AG119" s="219">
        <f t="shared" si="11"/>
        <v>71.88</v>
      </c>
      <c r="AH119" s="219"/>
    </row>
    <row r="120" spans="1:34" x14ac:dyDescent="0.2">
      <c r="A120" s="376">
        <v>17900</v>
      </c>
      <c r="B120" s="376" t="s">
        <v>249</v>
      </c>
      <c r="C120" s="376" t="s">
        <v>293</v>
      </c>
      <c r="D120" s="404" t="s">
        <v>2</v>
      </c>
      <c r="E120" s="113"/>
      <c r="F120" s="81">
        <v>1800</v>
      </c>
      <c r="G120" s="81">
        <v>0</v>
      </c>
      <c r="H120" s="81">
        <v>1800</v>
      </c>
      <c r="I120" s="10"/>
      <c r="J120" s="81">
        <v>0</v>
      </c>
      <c r="K120" s="81">
        <v>0</v>
      </c>
      <c r="L120" s="128"/>
      <c r="M120" s="81">
        <v>0</v>
      </c>
      <c r="N120" s="81">
        <v>12</v>
      </c>
      <c r="O120" s="10"/>
      <c r="P120" s="81">
        <v>0</v>
      </c>
      <c r="Q120" s="81">
        <v>0</v>
      </c>
      <c r="R120" s="81">
        <v>0</v>
      </c>
      <c r="S120" s="10"/>
      <c r="T120" s="81">
        <v>0</v>
      </c>
      <c r="U120" s="81">
        <v>0</v>
      </c>
      <c r="V120" s="10"/>
      <c r="W120" s="81">
        <v>0</v>
      </c>
      <c r="X120" s="81">
        <v>0</v>
      </c>
      <c r="Y120" s="81">
        <v>0</v>
      </c>
      <c r="Z120" s="10"/>
      <c r="AA120" s="81">
        <f t="shared" si="6"/>
        <v>1812</v>
      </c>
      <c r="AB120" s="10"/>
      <c r="AC120" s="219">
        <f t="shared" si="7"/>
        <v>1800</v>
      </c>
      <c r="AD120" s="219">
        <f t="shared" si="8"/>
        <v>0</v>
      </c>
      <c r="AE120" s="219">
        <f t="shared" si="9"/>
        <v>1800</v>
      </c>
      <c r="AF120" s="219">
        <f t="shared" si="10"/>
        <v>0</v>
      </c>
      <c r="AG120" s="219">
        <f t="shared" si="11"/>
        <v>12</v>
      </c>
      <c r="AH120" s="219"/>
    </row>
    <row r="121" spans="1:34" x14ac:dyDescent="0.2">
      <c r="A121" s="376">
        <v>17950</v>
      </c>
      <c r="B121" s="376" t="s">
        <v>250</v>
      </c>
      <c r="C121" s="376" t="s">
        <v>293</v>
      </c>
      <c r="D121" s="404" t="s">
        <v>2</v>
      </c>
      <c r="E121" s="113"/>
      <c r="F121" s="81">
        <v>740</v>
      </c>
      <c r="G121" s="81">
        <v>0</v>
      </c>
      <c r="H121" s="81">
        <v>740</v>
      </c>
      <c r="I121" s="10"/>
      <c r="J121" s="81">
        <v>0</v>
      </c>
      <c r="K121" s="81">
        <v>0</v>
      </c>
      <c r="L121" s="128"/>
      <c r="M121" s="81">
        <v>1</v>
      </c>
      <c r="N121" s="81">
        <v>0</v>
      </c>
      <c r="O121" s="10"/>
      <c r="P121" s="81">
        <v>1500</v>
      </c>
      <c r="Q121" s="81">
        <v>0</v>
      </c>
      <c r="R121" s="81">
        <v>1500</v>
      </c>
      <c r="S121" s="10"/>
      <c r="T121" s="81">
        <v>0</v>
      </c>
      <c r="U121" s="81">
        <v>0</v>
      </c>
      <c r="V121" s="10"/>
      <c r="W121" s="81">
        <v>0</v>
      </c>
      <c r="X121" s="81">
        <v>0</v>
      </c>
      <c r="Y121" s="81">
        <v>0</v>
      </c>
      <c r="Z121" s="10"/>
      <c r="AA121" s="81">
        <f t="shared" si="6"/>
        <v>2241</v>
      </c>
      <c r="AB121" s="10"/>
      <c r="AC121" s="219">
        <f t="shared" si="7"/>
        <v>2240</v>
      </c>
      <c r="AD121" s="219">
        <f t="shared" si="8"/>
        <v>0</v>
      </c>
      <c r="AE121" s="219">
        <f t="shared" si="9"/>
        <v>2240</v>
      </c>
      <c r="AF121" s="219">
        <f t="shared" si="10"/>
        <v>1</v>
      </c>
      <c r="AG121" s="219">
        <f t="shared" si="11"/>
        <v>0</v>
      </c>
      <c r="AH121" s="219"/>
    </row>
    <row r="122" spans="1:34" x14ac:dyDescent="0.2">
      <c r="A122" s="376">
        <v>18020</v>
      </c>
      <c r="B122" s="376" t="s">
        <v>251</v>
      </c>
      <c r="C122" s="376" t="s">
        <v>293</v>
      </c>
      <c r="D122" s="404" t="s">
        <v>2</v>
      </c>
      <c r="E122" s="113"/>
      <c r="F122" s="81">
        <v>1780</v>
      </c>
      <c r="G122" s="81">
        <v>0</v>
      </c>
      <c r="H122" s="81">
        <v>1780</v>
      </c>
      <c r="I122" s="10"/>
      <c r="J122" s="81">
        <v>34</v>
      </c>
      <c r="K122" s="81">
        <v>0</v>
      </c>
      <c r="L122" s="128"/>
      <c r="M122" s="81">
        <v>0</v>
      </c>
      <c r="N122" s="81">
        <v>0</v>
      </c>
      <c r="O122" s="10"/>
      <c r="P122" s="81">
        <v>0</v>
      </c>
      <c r="Q122" s="81">
        <v>0</v>
      </c>
      <c r="R122" s="81">
        <v>0</v>
      </c>
      <c r="S122" s="10"/>
      <c r="T122" s="81">
        <v>0</v>
      </c>
      <c r="U122" s="81">
        <v>0</v>
      </c>
      <c r="V122" s="10"/>
      <c r="W122" s="81">
        <v>0</v>
      </c>
      <c r="X122" s="81">
        <v>0</v>
      </c>
      <c r="Y122" s="81">
        <v>0</v>
      </c>
      <c r="Z122" s="10"/>
      <c r="AA122" s="81">
        <f t="shared" si="6"/>
        <v>1814</v>
      </c>
      <c r="AB122" s="10"/>
      <c r="AC122" s="219">
        <f t="shared" si="7"/>
        <v>1780</v>
      </c>
      <c r="AD122" s="219">
        <f t="shared" si="8"/>
        <v>0</v>
      </c>
      <c r="AE122" s="219">
        <f t="shared" si="9"/>
        <v>1780</v>
      </c>
      <c r="AF122" s="219">
        <f t="shared" si="10"/>
        <v>34</v>
      </c>
      <c r="AG122" s="219">
        <f t="shared" si="11"/>
        <v>0</v>
      </c>
      <c r="AH122" s="219"/>
    </row>
    <row r="123" spans="1:34" x14ac:dyDescent="0.2">
      <c r="A123" s="376">
        <v>18050</v>
      </c>
      <c r="B123" s="376" t="s">
        <v>252</v>
      </c>
      <c r="C123" s="376" t="s">
        <v>127</v>
      </c>
      <c r="D123" s="404" t="s">
        <v>4</v>
      </c>
      <c r="E123" s="113"/>
      <c r="F123" s="81">
        <v>14755</v>
      </c>
      <c r="G123" s="81">
        <v>0</v>
      </c>
      <c r="H123" s="81">
        <v>14755</v>
      </c>
      <c r="I123" s="10"/>
      <c r="J123" s="81">
        <v>413.06</v>
      </c>
      <c r="K123" s="81">
        <v>0</v>
      </c>
      <c r="L123" s="128"/>
      <c r="M123" s="81">
        <v>0</v>
      </c>
      <c r="N123" s="81">
        <v>0</v>
      </c>
      <c r="O123" s="10"/>
      <c r="P123" s="81">
        <v>0</v>
      </c>
      <c r="Q123" s="81">
        <v>0</v>
      </c>
      <c r="R123" s="81">
        <v>0</v>
      </c>
      <c r="S123" s="10"/>
      <c r="T123" s="81">
        <v>0</v>
      </c>
      <c r="U123" s="81">
        <v>0</v>
      </c>
      <c r="V123" s="10"/>
      <c r="W123" s="81">
        <v>1838.51</v>
      </c>
      <c r="X123" s="81">
        <v>303</v>
      </c>
      <c r="Y123" s="81">
        <v>1535.51</v>
      </c>
      <c r="Z123" s="10"/>
      <c r="AA123" s="81">
        <f t="shared" si="6"/>
        <v>16703.57</v>
      </c>
      <c r="AB123" s="10"/>
      <c r="AC123" s="219">
        <f t="shared" si="7"/>
        <v>16593.509999999998</v>
      </c>
      <c r="AD123" s="219">
        <f t="shared" si="8"/>
        <v>303</v>
      </c>
      <c r="AE123" s="219">
        <f t="shared" si="9"/>
        <v>16290.51</v>
      </c>
      <c r="AF123" s="219">
        <f t="shared" si="10"/>
        <v>413.06</v>
      </c>
      <c r="AG123" s="219">
        <f t="shared" si="11"/>
        <v>0</v>
      </c>
      <c r="AH123" s="219"/>
    </row>
    <row r="124" spans="1:34" x14ac:dyDescent="0.2">
      <c r="A124" s="376">
        <v>18100</v>
      </c>
      <c r="B124" s="376" t="s">
        <v>253</v>
      </c>
      <c r="C124" s="376" t="s">
        <v>293</v>
      </c>
      <c r="D124" s="404" t="s">
        <v>2</v>
      </c>
      <c r="E124" s="113"/>
      <c r="F124" s="81">
        <v>595</v>
      </c>
      <c r="G124" s="81">
        <v>0</v>
      </c>
      <c r="H124" s="81">
        <v>595</v>
      </c>
      <c r="I124" s="10"/>
      <c r="J124" s="81">
        <v>15.72</v>
      </c>
      <c r="K124" s="81">
        <v>0</v>
      </c>
      <c r="L124" s="128"/>
      <c r="M124" s="81">
        <v>6.8</v>
      </c>
      <c r="N124" s="81">
        <v>238.05</v>
      </c>
      <c r="O124" s="10"/>
      <c r="P124" s="81">
        <v>1140.0999999999999</v>
      </c>
      <c r="Q124" s="81">
        <v>0</v>
      </c>
      <c r="R124" s="81">
        <v>1140.0999999999999</v>
      </c>
      <c r="S124" s="10"/>
      <c r="T124" s="81">
        <v>0</v>
      </c>
      <c r="U124" s="81">
        <v>0</v>
      </c>
      <c r="V124" s="10"/>
      <c r="W124" s="81">
        <v>0</v>
      </c>
      <c r="X124" s="81">
        <v>0</v>
      </c>
      <c r="Y124" s="81">
        <v>0</v>
      </c>
      <c r="Z124" s="10"/>
      <c r="AA124" s="81">
        <f t="shared" si="6"/>
        <v>1995.6699999999998</v>
      </c>
      <c r="AB124" s="10"/>
      <c r="AC124" s="219">
        <f t="shared" si="7"/>
        <v>1735.1</v>
      </c>
      <c r="AD124" s="219">
        <f t="shared" si="8"/>
        <v>0</v>
      </c>
      <c r="AE124" s="219">
        <f t="shared" si="9"/>
        <v>1735.1</v>
      </c>
      <c r="AF124" s="219">
        <f t="shared" si="10"/>
        <v>22.52</v>
      </c>
      <c r="AG124" s="219">
        <f t="shared" si="11"/>
        <v>238.05</v>
      </c>
      <c r="AH124" s="219"/>
    </row>
    <row r="125" spans="1:34" x14ac:dyDescent="0.2">
      <c r="A125" s="376">
        <v>18200</v>
      </c>
      <c r="B125" s="376" t="s">
        <v>254</v>
      </c>
      <c r="C125" s="376" t="s">
        <v>703</v>
      </c>
      <c r="D125" s="404" t="s">
        <v>2</v>
      </c>
      <c r="E125" s="113"/>
      <c r="F125" s="81">
        <v>2324</v>
      </c>
      <c r="G125" s="81">
        <v>0</v>
      </c>
      <c r="H125" s="81">
        <v>2324</v>
      </c>
      <c r="I125" s="10"/>
      <c r="J125" s="81">
        <v>0</v>
      </c>
      <c r="K125" s="81">
        <v>0</v>
      </c>
      <c r="L125" s="128"/>
      <c r="M125" s="81">
        <v>4.8</v>
      </c>
      <c r="N125" s="81">
        <v>0</v>
      </c>
      <c r="O125" s="10"/>
      <c r="P125" s="81">
        <v>1194.3499999999999</v>
      </c>
      <c r="Q125" s="81">
        <v>0.35</v>
      </c>
      <c r="R125" s="81">
        <v>1194</v>
      </c>
      <c r="S125" s="10"/>
      <c r="T125" s="81">
        <v>0</v>
      </c>
      <c r="U125" s="81">
        <v>0</v>
      </c>
      <c r="V125" s="10"/>
      <c r="W125" s="81">
        <v>27.08</v>
      </c>
      <c r="X125" s="81">
        <v>0</v>
      </c>
      <c r="Y125" s="81">
        <v>27.08</v>
      </c>
      <c r="Z125" s="10"/>
      <c r="AA125" s="81">
        <f t="shared" si="6"/>
        <v>3549.88</v>
      </c>
      <c r="AB125" s="10"/>
      <c r="AC125" s="219">
        <f t="shared" si="7"/>
        <v>3545.43</v>
      </c>
      <c r="AD125" s="219">
        <f t="shared" si="8"/>
        <v>0.35</v>
      </c>
      <c r="AE125" s="219">
        <f t="shared" si="9"/>
        <v>3545.08</v>
      </c>
      <c r="AF125" s="219">
        <f t="shared" si="10"/>
        <v>4.8</v>
      </c>
      <c r="AG125" s="219">
        <f t="shared" si="11"/>
        <v>0</v>
      </c>
      <c r="AH125" s="219"/>
    </row>
    <row r="126" spans="1:34" x14ac:dyDescent="0.2">
      <c r="A126" s="376">
        <v>18230</v>
      </c>
      <c r="B126" s="376" t="s">
        <v>290</v>
      </c>
      <c r="C126" s="376" t="s">
        <v>293</v>
      </c>
      <c r="D126" s="404" t="s">
        <v>2</v>
      </c>
      <c r="E126" s="113"/>
      <c r="F126" s="81">
        <v>12103</v>
      </c>
      <c r="G126" s="81">
        <v>0</v>
      </c>
      <c r="H126" s="81">
        <v>12103</v>
      </c>
      <c r="I126" s="10"/>
      <c r="J126" s="81">
        <v>294</v>
      </c>
      <c r="K126" s="81">
        <v>0</v>
      </c>
      <c r="L126" s="128"/>
      <c r="M126" s="81">
        <v>0</v>
      </c>
      <c r="N126" s="81">
        <v>0</v>
      </c>
      <c r="O126" s="10"/>
      <c r="P126" s="81">
        <v>3892</v>
      </c>
      <c r="Q126" s="81">
        <v>42</v>
      </c>
      <c r="R126" s="81">
        <v>3850</v>
      </c>
      <c r="S126" s="10"/>
      <c r="T126" s="81">
        <v>0</v>
      </c>
      <c r="U126" s="81">
        <v>0</v>
      </c>
      <c r="V126" s="10"/>
      <c r="W126" s="81">
        <v>572</v>
      </c>
      <c r="X126" s="81">
        <v>1</v>
      </c>
      <c r="Y126" s="81">
        <v>571</v>
      </c>
      <c r="Z126" s="10"/>
      <c r="AA126" s="81">
        <f t="shared" si="6"/>
        <v>16818</v>
      </c>
      <c r="AB126" s="10"/>
      <c r="AC126" s="219">
        <f t="shared" si="7"/>
        <v>16567</v>
      </c>
      <c r="AD126" s="219">
        <f t="shared" si="8"/>
        <v>43</v>
      </c>
      <c r="AE126" s="219">
        <f t="shared" si="9"/>
        <v>16524</v>
      </c>
      <c r="AF126" s="219">
        <f t="shared" si="10"/>
        <v>294</v>
      </c>
      <c r="AG126" s="219">
        <f t="shared" si="11"/>
        <v>0</v>
      </c>
      <c r="AH126" s="219"/>
    </row>
    <row r="127" spans="1:34" x14ac:dyDescent="0.2">
      <c r="A127" s="376">
        <v>18250</v>
      </c>
      <c r="B127" s="376" t="s">
        <v>255</v>
      </c>
      <c r="C127" s="376" t="s">
        <v>190</v>
      </c>
      <c r="D127" s="404" t="s">
        <v>4</v>
      </c>
      <c r="E127" s="113"/>
      <c r="F127" s="81">
        <v>15643</v>
      </c>
      <c r="G127" s="81">
        <v>0</v>
      </c>
      <c r="H127" s="81">
        <v>15643</v>
      </c>
      <c r="I127" s="10"/>
      <c r="J127" s="81">
        <v>814</v>
      </c>
      <c r="K127" s="81">
        <v>135</v>
      </c>
      <c r="L127" s="128"/>
      <c r="M127" s="81">
        <v>0</v>
      </c>
      <c r="N127" s="81">
        <v>0</v>
      </c>
      <c r="O127" s="10"/>
      <c r="P127" s="81">
        <v>0</v>
      </c>
      <c r="Q127" s="81">
        <v>0</v>
      </c>
      <c r="R127" s="81">
        <v>0</v>
      </c>
      <c r="S127" s="10"/>
      <c r="T127" s="81">
        <v>0</v>
      </c>
      <c r="U127" s="81">
        <v>0</v>
      </c>
      <c r="V127" s="10"/>
      <c r="W127" s="81">
        <v>2085</v>
      </c>
      <c r="X127" s="81">
        <v>0</v>
      </c>
      <c r="Y127" s="81">
        <v>2085</v>
      </c>
      <c r="Z127" s="10"/>
      <c r="AA127" s="81">
        <f t="shared" si="6"/>
        <v>18677</v>
      </c>
      <c r="AB127" s="10"/>
      <c r="AC127" s="219">
        <f t="shared" si="7"/>
        <v>17728</v>
      </c>
      <c r="AD127" s="219">
        <f t="shared" si="8"/>
        <v>0</v>
      </c>
      <c r="AE127" s="219">
        <f t="shared" si="9"/>
        <v>17728</v>
      </c>
      <c r="AF127" s="219">
        <f t="shared" si="10"/>
        <v>814</v>
      </c>
      <c r="AG127" s="219">
        <f t="shared" si="11"/>
        <v>135</v>
      </c>
      <c r="AH127" s="219"/>
    </row>
    <row r="128" spans="1:34" x14ac:dyDescent="0.2">
      <c r="A128" s="376">
        <v>18350</v>
      </c>
      <c r="B128" s="376" t="s">
        <v>256</v>
      </c>
      <c r="C128" s="376" t="s">
        <v>291</v>
      </c>
      <c r="D128" s="404" t="s">
        <v>3</v>
      </c>
      <c r="E128" s="113"/>
      <c r="F128" s="81">
        <v>7420.75</v>
      </c>
      <c r="G128" s="81">
        <v>0</v>
      </c>
      <c r="H128" s="81">
        <v>7420.75</v>
      </c>
      <c r="I128" s="10"/>
      <c r="J128" s="81">
        <v>149.66999999999999</v>
      </c>
      <c r="K128" s="81">
        <v>45</v>
      </c>
      <c r="L128" s="128"/>
      <c r="M128" s="81">
        <v>10.55</v>
      </c>
      <c r="N128" s="81">
        <v>0</v>
      </c>
      <c r="O128" s="10"/>
      <c r="P128" s="81">
        <v>4080.4999999999995</v>
      </c>
      <c r="Q128" s="81">
        <v>1492.35</v>
      </c>
      <c r="R128" s="81">
        <v>2588.1499999999996</v>
      </c>
      <c r="S128" s="10"/>
      <c r="T128" s="81">
        <v>1</v>
      </c>
      <c r="U128" s="81">
        <v>0</v>
      </c>
      <c r="V128" s="10"/>
      <c r="W128" s="81">
        <v>87.070000000000007</v>
      </c>
      <c r="X128" s="81">
        <v>0.12</v>
      </c>
      <c r="Y128" s="81">
        <v>86.95</v>
      </c>
      <c r="Z128" s="10"/>
      <c r="AA128" s="81">
        <f t="shared" si="6"/>
        <v>10302.07</v>
      </c>
      <c r="AB128" s="10"/>
      <c r="AC128" s="219">
        <f t="shared" si="7"/>
        <v>11588.32</v>
      </c>
      <c r="AD128" s="219">
        <f t="shared" si="8"/>
        <v>1492.4699999999998</v>
      </c>
      <c r="AE128" s="219">
        <f t="shared" si="9"/>
        <v>10095.85</v>
      </c>
      <c r="AF128" s="219">
        <f t="shared" si="10"/>
        <v>161.22</v>
      </c>
      <c r="AG128" s="219">
        <f t="shared" si="11"/>
        <v>45</v>
      </c>
      <c r="AH128" s="219"/>
    </row>
    <row r="129" spans="1:35" x14ac:dyDescent="0.2">
      <c r="A129" s="376">
        <v>18400</v>
      </c>
      <c r="B129" s="376" t="s">
        <v>257</v>
      </c>
      <c r="C129" s="376" t="s">
        <v>156</v>
      </c>
      <c r="D129" s="404" t="s">
        <v>5</v>
      </c>
      <c r="E129" s="113"/>
      <c r="F129" s="81">
        <v>9576.7900000000009</v>
      </c>
      <c r="G129" s="81">
        <v>0</v>
      </c>
      <c r="H129" s="81">
        <v>9576.7900000000009</v>
      </c>
      <c r="I129" s="10"/>
      <c r="J129" s="81">
        <v>304.08</v>
      </c>
      <c r="K129" s="81">
        <v>0</v>
      </c>
      <c r="L129" s="128"/>
      <c r="M129" s="81">
        <v>0</v>
      </c>
      <c r="N129" s="81">
        <v>0</v>
      </c>
      <c r="O129" s="10"/>
      <c r="P129" s="81">
        <v>4995.49</v>
      </c>
      <c r="Q129" s="81">
        <v>108.49000000000018</v>
      </c>
      <c r="R129" s="81">
        <v>4887</v>
      </c>
      <c r="S129" s="10"/>
      <c r="T129" s="81">
        <v>0</v>
      </c>
      <c r="U129" s="81">
        <v>0</v>
      </c>
      <c r="V129" s="10"/>
      <c r="W129" s="81">
        <v>2523.3200000000002</v>
      </c>
      <c r="X129" s="81">
        <v>0.32000000000016371</v>
      </c>
      <c r="Y129" s="81">
        <v>2523</v>
      </c>
      <c r="Z129" s="10"/>
      <c r="AA129" s="81">
        <f t="shared" si="6"/>
        <v>17290.870000000003</v>
      </c>
      <c r="AB129" s="10"/>
      <c r="AC129" s="219">
        <f t="shared" si="7"/>
        <v>17095.600000000002</v>
      </c>
      <c r="AD129" s="219">
        <f t="shared" si="8"/>
        <v>108.81000000000034</v>
      </c>
      <c r="AE129" s="219">
        <f t="shared" si="9"/>
        <v>16986.79</v>
      </c>
      <c r="AF129" s="219">
        <f t="shared" si="10"/>
        <v>304.08</v>
      </c>
      <c r="AG129" s="219">
        <f t="shared" si="11"/>
        <v>0</v>
      </c>
      <c r="AH129" s="219"/>
    </row>
    <row r="130" spans="1:35" x14ac:dyDescent="0.2">
      <c r="A130" s="376">
        <v>18450</v>
      </c>
      <c r="B130" s="376" t="s">
        <v>258</v>
      </c>
      <c r="C130" s="376" t="s">
        <v>291</v>
      </c>
      <c r="D130" s="404" t="s">
        <v>3</v>
      </c>
      <c r="E130" s="113"/>
      <c r="F130" s="81">
        <v>42346</v>
      </c>
      <c r="G130" s="81">
        <v>0</v>
      </c>
      <c r="H130" s="81">
        <v>42346</v>
      </c>
      <c r="I130" s="10"/>
      <c r="J130" s="81">
        <v>1457</v>
      </c>
      <c r="K130" s="81">
        <v>109.34</v>
      </c>
      <c r="L130" s="128"/>
      <c r="M130" s="81">
        <v>0</v>
      </c>
      <c r="N130" s="81">
        <v>0</v>
      </c>
      <c r="O130" s="10"/>
      <c r="P130" s="81">
        <v>69.760000000000005</v>
      </c>
      <c r="Q130" s="81">
        <v>69.760000000000005</v>
      </c>
      <c r="R130" s="81">
        <v>0</v>
      </c>
      <c r="S130" s="10"/>
      <c r="T130" s="81">
        <v>0</v>
      </c>
      <c r="U130" s="81">
        <v>0</v>
      </c>
      <c r="V130" s="10"/>
      <c r="W130" s="81">
        <v>3837.96</v>
      </c>
      <c r="X130" s="81">
        <v>3837.96</v>
      </c>
      <c r="Y130" s="81">
        <v>0</v>
      </c>
      <c r="Z130" s="10"/>
      <c r="AA130" s="81">
        <f t="shared" si="6"/>
        <v>43912.34</v>
      </c>
      <c r="AB130" s="10"/>
      <c r="AC130" s="219">
        <f t="shared" si="7"/>
        <v>46253.72</v>
      </c>
      <c r="AD130" s="219">
        <f t="shared" si="8"/>
        <v>3907.7200000000003</v>
      </c>
      <c r="AE130" s="219">
        <f t="shared" si="9"/>
        <v>42346</v>
      </c>
      <c r="AF130" s="219">
        <f t="shared" si="10"/>
        <v>1457</v>
      </c>
      <c r="AG130" s="219">
        <f t="shared" si="11"/>
        <v>109.34</v>
      </c>
      <c r="AH130" s="219"/>
    </row>
    <row r="131" spans="1:35" x14ac:dyDescent="0.2">
      <c r="A131" s="376">
        <v>18500</v>
      </c>
      <c r="B131" s="376" t="s">
        <v>259</v>
      </c>
      <c r="C131" s="376" t="s">
        <v>127</v>
      </c>
      <c r="D131" s="404" t="s">
        <v>4</v>
      </c>
      <c r="E131" s="113"/>
      <c r="F131" s="81">
        <v>11371.42</v>
      </c>
      <c r="G131" s="81">
        <v>0</v>
      </c>
      <c r="H131" s="81">
        <v>11371.42</v>
      </c>
      <c r="I131" s="10"/>
      <c r="J131" s="81">
        <v>386.19</v>
      </c>
      <c r="K131" s="81">
        <v>0</v>
      </c>
      <c r="L131" s="128"/>
      <c r="M131" s="81">
        <v>0</v>
      </c>
      <c r="N131" s="81">
        <v>0</v>
      </c>
      <c r="O131" s="10"/>
      <c r="P131" s="81">
        <v>0</v>
      </c>
      <c r="Q131" s="81">
        <v>0</v>
      </c>
      <c r="R131" s="81">
        <v>0</v>
      </c>
      <c r="S131" s="10"/>
      <c r="T131" s="81">
        <v>83</v>
      </c>
      <c r="U131" s="81">
        <v>0</v>
      </c>
      <c r="V131" s="10"/>
      <c r="W131" s="81">
        <v>1504.19</v>
      </c>
      <c r="X131" s="81">
        <v>180.19000000000005</v>
      </c>
      <c r="Y131" s="81">
        <v>1324</v>
      </c>
      <c r="Z131" s="10"/>
      <c r="AA131" s="81">
        <f t="shared" si="6"/>
        <v>13164.61</v>
      </c>
      <c r="AB131" s="10"/>
      <c r="AC131" s="219">
        <f t="shared" si="7"/>
        <v>12875.61</v>
      </c>
      <c r="AD131" s="219">
        <f t="shared" si="8"/>
        <v>180.19000000000005</v>
      </c>
      <c r="AE131" s="219">
        <f t="shared" si="9"/>
        <v>12695.42</v>
      </c>
      <c r="AF131" s="219">
        <f t="shared" si="10"/>
        <v>469.19</v>
      </c>
      <c r="AG131" s="219">
        <f t="shared" si="11"/>
        <v>0</v>
      </c>
      <c r="AH131" s="219"/>
    </row>
    <row r="132" spans="1:35" x14ac:dyDescent="0.2">
      <c r="A132" s="376">
        <v>18710</v>
      </c>
      <c r="B132" s="376" t="s">
        <v>260</v>
      </c>
      <c r="C132" s="376" t="s">
        <v>704</v>
      </c>
      <c r="D132" s="404" t="s">
        <v>2</v>
      </c>
      <c r="E132" s="113"/>
      <c r="F132" s="81">
        <v>2672</v>
      </c>
      <c r="G132" s="81">
        <v>0</v>
      </c>
      <c r="H132" s="81">
        <v>2672</v>
      </c>
      <c r="I132" s="10"/>
      <c r="J132" s="81">
        <v>37.19</v>
      </c>
      <c r="K132" s="81">
        <v>0</v>
      </c>
      <c r="L132" s="128"/>
      <c r="M132" s="81">
        <v>0</v>
      </c>
      <c r="N132" s="81">
        <v>1045</v>
      </c>
      <c r="O132" s="10"/>
      <c r="P132" s="81">
        <v>5806.9199999999992</v>
      </c>
      <c r="Q132" s="81">
        <v>11.23</v>
      </c>
      <c r="R132" s="81">
        <v>5795.69</v>
      </c>
      <c r="S132" s="10"/>
      <c r="T132" s="81">
        <v>0</v>
      </c>
      <c r="U132" s="81">
        <v>0</v>
      </c>
      <c r="V132" s="10"/>
      <c r="W132" s="81">
        <v>0</v>
      </c>
      <c r="X132" s="81">
        <v>0</v>
      </c>
      <c r="Y132" s="81">
        <v>0</v>
      </c>
      <c r="Z132" s="10"/>
      <c r="AA132" s="81">
        <f t="shared" si="6"/>
        <v>9549.8799999999992</v>
      </c>
      <c r="AB132" s="10"/>
      <c r="AC132" s="219">
        <f t="shared" si="7"/>
        <v>8478.9199999999983</v>
      </c>
      <c r="AD132" s="219">
        <f t="shared" si="8"/>
        <v>11.23</v>
      </c>
      <c r="AE132" s="219">
        <f t="shared" si="9"/>
        <v>8467.6899999999987</v>
      </c>
      <c r="AF132" s="219">
        <f t="shared" si="10"/>
        <v>37.19</v>
      </c>
      <c r="AG132" s="219">
        <f t="shared" si="11"/>
        <v>1045</v>
      </c>
      <c r="AH132" s="219"/>
    </row>
    <row r="133" spans="1:35" s="106" customFormat="1" ht="11.25" x14ac:dyDescent="0.2">
      <c r="E133" s="114"/>
      <c r="F133" s="115"/>
      <c r="G133" s="115"/>
      <c r="H133" s="115"/>
      <c r="I133" s="114"/>
      <c r="J133" s="114"/>
      <c r="K133" s="114"/>
      <c r="L133" s="114"/>
      <c r="M133" s="115"/>
      <c r="N133" s="115"/>
      <c r="O133" s="114"/>
      <c r="P133" s="115"/>
      <c r="Q133" s="115"/>
      <c r="R133" s="115"/>
      <c r="S133" s="114"/>
      <c r="T133" s="115"/>
      <c r="U133" s="115"/>
      <c r="V133" s="114"/>
      <c r="W133" s="115"/>
      <c r="X133" s="115"/>
      <c r="Y133" s="115"/>
      <c r="Z133" s="114"/>
      <c r="AA133" s="114"/>
      <c r="AB133" s="114"/>
    </row>
    <row r="134" spans="1:35" s="118" customFormat="1" x14ac:dyDescent="0.2">
      <c r="A134" s="647" t="s">
        <v>292</v>
      </c>
      <c r="B134" s="647"/>
      <c r="C134" s="647"/>
      <c r="D134" s="116"/>
      <c r="E134" s="114"/>
      <c r="F134" s="236"/>
      <c r="G134" s="236"/>
      <c r="H134" s="123"/>
      <c r="I134" s="114"/>
      <c r="J134" s="432"/>
      <c r="K134" s="433"/>
      <c r="L134" s="117"/>
      <c r="M134" s="236"/>
      <c r="N134" s="236"/>
      <c r="O134" s="117"/>
      <c r="P134" s="236"/>
      <c r="Q134" s="236"/>
      <c r="R134" s="236"/>
      <c r="S134" s="117"/>
      <c r="T134" s="236"/>
      <c r="U134" s="236"/>
      <c r="V134" s="117"/>
      <c r="W134" s="236"/>
      <c r="X134" s="236"/>
      <c r="Y134" s="123"/>
      <c r="Z134" s="117"/>
      <c r="AA134" s="117"/>
      <c r="AB134" s="117"/>
      <c r="AH134" s="219"/>
      <c r="AI134"/>
    </row>
    <row r="135" spans="1:35" s="118" customFormat="1" ht="15" customHeight="1" x14ac:dyDescent="0.2">
      <c r="A135" s="648" t="s">
        <v>17</v>
      </c>
      <c r="B135" s="649"/>
      <c r="C135" s="650"/>
      <c r="D135" s="116"/>
      <c r="E135" s="114"/>
      <c r="F135" s="119">
        <f>SUM(F5:F132)</f>
        <v>1687162.0000000005</v>
      </c>
      <c r="G135" s="119">
        <f>SUM(G5:G132)</f>
        <v>254149.19</v>
      </c>
      <c r="H135" s="119">
        <f>SUM(H5:H132)</f>
        <v>1433012.8100000005</v>
      </c>
      <c r="I135" s="114"/>
      <c r="J135" s="119">
        <f>SUM(J5:J132)</f>
        <v>60592.240000000027</v>
      </c>
      <c r="K135" s="119">
        <f>SUM(K5:K132)</f>
        <v>16212.369999999997</v>
      </c>
      <c r="L135" s="120"/>
      <c r="M135" s="119">
        <f>SUM(M5:M132)</f>
        <v>1178.6299999999999</v>
      </c>
      <c r="N135" s="119">
        <f>SUM(N5:N132)</f>
        <v>4611.6200000000008</v>
      </c>
      <c r="O135" s="120"/>
      <c r="P135" s="119">
        <f>SUM(P5:P132)</f>
        <v>228898.63</v>
      </c>
      <c r="Q135" s="119">
        <f>SUM(Q5:Q132)</f>
        <v>25513.929999999993</v>
      </c>
      <c r="R135" s="119">
        <f>SUM(R5:R132)</f>
        <v>203384.95999999996</v>
      </c>
      <c r="S135" s="120"/>
      <c r="T135" s="119">
        <f>SUM(T5:T132)</f>
        <v>3746.41</v>
      </c>
      <c r="U135" s="119">
        <f>SUM(U5:U132)</f>
        <v>4998</v>
      </c>
      <c r="V135" s="120"/>
      <c r="W135" s="119">
        <f>SUM(W5:W132)</f>
        <v>206250.78999999998</v>
      </c>
      <c r="X135" s="119">
        <f>SUM(X5:X132)</f>
        <v>25936.499999999996</v>
      </c>
      <c r="Y135" s="119">
        <f>SUM(Y5:Y132)</f>
        <v>180314.28999999998</v>
      </c>
      <c r="Z135" s="120"/>
      <c r="AA135" s="119">
        <f>SUM(AA5:AA132)</f>
        <v>1908051.33</v>
      </c>
      <c r="AB135" s="119"/>
      <c r="AC135" s="119">
        <f>SUM(AC5:AC132)</f>
        <v>2122311.4200000004</v>
      </c>
      <c r="AD135" s="119">
        <f>SUM(AD5:AD132)</f>
        <v>305599.61999999982</v>
      </c>
      <c r="AE135" s="119">
        <f>SUM(AE5:AE132)</f>
        <v>1816712.0600000003</v>
      </c>
      <c r="AF135" s="119">
        <f>SUM(AF5:AF132)</f>
        <v>65517.280000000013</v>
      </c>
      <c r="AG135" s="119">
        <f>SUM(AG5:AG132)</f>
        <v>25821.989999999998</v>
      </c>
      <c r="AH135" s="106"/>
      <c r="AI135" s="106"/>
    </row>
    <row r="136" spans="1:35" s="118" customFormat="1" x14ac:dyDescent="0.2">
      <c r="D136" s="116"/>
      <c r="E136" s="114"/>
      <c r="F136" s="246"/>
      <c r="G136" s="246"/>
      <c r="H136" s="246"/>
      <c r="I136" s="114"/>
      <c r="J136" s="246"/>
      <c r="K136" s="246"/>
      <c r="L136" s="117"/>
      <c r="M136" s="246"/>
      <c r="N136" s="246"/>
      <c r="O136" s="117"/>
      <c r="P136" s="246"/>
      <c r="Q136" s="246"/>
      <c r="R136" s="246"/>
      <c r="S136" s="117"/>
      <c r="T136" s="246"/>
      <c r="U136" s="246"/>
      <c r="V136" s="117"/>
      <c r="W136" s="246"/>
      <c r="X136" s="246"/>
      <c r="Y136" s="246"/>
      <c r="Z136" s="117"/>
      <c r="AA136" s="246"/>
      <c r="AB136" s="117"/>
      <c r="AH136" s="219"/>
      <c r="AI136"/>
    </row>
    <row r="137" spans="1:35" s="118" customFormat="1" ht="15" customHeight="1" x14ac:dyDescent="0.2">
      <c r="A137" s="646" t="s">
        <v>18</v>
      </c>
      <c r="B137" s="646"/>
      <c r="C137" s="646"/>
      <c r="D137" s="121"/>
      <c r="E137" s="122"/>
      <c r="F137" s="89">
        <f>SUMIF($D$5:$D$132,"S",F$5:F$132)</f>
        <v>985828.94000000006</v>
      </c>
      <c r="G137" s="89">
        <f>SUMIF($D$5:$D$132,"S",G$5:G$132)</f>
        <v>238825.8</v>
      </c>
      <c r="H137" s="89">
        <f>SUMIF($D$5:$D$132,"S",H$5:H$132)</f>
        <v>747003.14000000013</v>
      </c>
      <c r="I137" s="114"/>
      <c r="J137" s="89">
        <f>SUMIF($D$5:$D$132,"S",J$5:J$132)</f>
        <v>38696.89</v>
      </c>
      <c r="K137" s="89">
        <f>SUMIF($D$5:$D$132,"S",K$5:K$132)</f>
        <v>5445.72</v>
      </c>
      <c r="L137" s="117"/>
      <c r="M137" s="89">
        <f>SUMIF($D$5:$D$132,"S",M$5:M$132)</f>
        <v>3.69</v>
      </c>
      <c r="N137" s="89">
        <f>SUMIF($D$5:$D$132,"S",N$5:N$132)</f>
        <v>419</v>
      </c>
      <c r="O137" s="117"/>
      <c r="P137" s="89">
        <f>SUMIF($D$5:$D$132,"S",P$5:P$132)</f>
        <v>2024.5299999999997</v>
      </c>
      <c r="Q137" s="89">
        <f>SUMIF($D$5:$D$132,"S",Q$5:Q$132)</f>
        <v>854.53000000000009</v>
      </c>
      <c r="R137" s="89">
        <f>SUMIF($D$5:$D$132,"S",R$5:R$132)</f>
        <v>1170</v>
      </c>
      <c r="S137" s="117"/>
      <c r="T137" s="89">
        <f>SUMIF($D$5:$D$132,"S",T$5:T$132)</f>
        <v>3745.41</v>
      </c>
      <c r="U137" s="89">
        <f>SUMIF($D$5:$D$132,"S",U$5:U$132)</f>
        <v>1067.5</v>
      </c>
      <c r="V137" s="117"/>
      <c r="W137" s="89">
        <f>SUMIF($D$5:$D$132,"S",W$5:W$132)</f>
        <v>140604.69000000003</v>
      </c>
      <c r="X137" s="89">
        <f>SUMIF($D$5:$D$132,"S",X$5:X$132)</f>
        <v>13427.42</v>
      </c>
      <c r="Y137" s="89">
        <f>SUMIF($D$5:$D$132,"S",Y$5:Y$132)</f>
        <v>127177.26999999999</v>
      </c>
      <c r="Z137" s="117"/>
      <c r="AA137" s="89">
        <f>SUMIF($D$5:$D$132,"S",AA$5:AA$132)</f>
        <v>924728.61999999976</v>
      </c>
      <c r="AB137" s="117"/>
      <c r="AC137" s="89">
        <f>SUMIF($D$5:$D$132,"S",AC$5:AC$132)</f>
        <v>1128458.1600000001</v>
      </c>
      <c r="AD137" s="89">
        <f>SUMIF($D$5:$D$132,"S",AD$5:AD$132)</f>
        <v>253107.75</v>
      </c>
      <c r="AE137" s="89">
        <f>SUMIF($D$5:$D$132,"S",AE$5:AE$132)</f>
        <v>875350.41</v>
      </c>
      <c r="AF137" s="89">
        <f>SUMIF($D$5:$D$132,"S",AF$5:AF$132)</f>
        <v>42445.990000000005</v>
      </c>
      <c r="AG137" s="89">
        <f>SUMIF($D$5:$D$132,"S",AG$5:AG$132)</f>
        <v>6932.22</v>
      </c>
      <c r="AH137" s="412"/>
    </row>
    <row r="138" spans="1:35" s="118" customFormat="1" ht="15" customHeight="1" x14ac:dyDescent="0.2">
      <c r="A138" s="646" t="s">
        <v>19</v>
      </c>
      <c r="B138" s="646"/>
      <c r="C138" s="646"/>
      <c r="D138" s="121"/>
      <c r="E138" s="122"/>
      <c r="F138" s="89">
        <f>SUMIF($D$5:$D$132,"E",F$5:F$132)</f>
        <v>344172.79999999999</v>
      </c>
      <c r="G138" s="89">
        <f>SUMIF($D$5:$D$132,"E",G$5:G$132)</f>
        <v>13542</v>
      </c>
      <c r="H138" s="89">
        <f>SUMIF($D$5:$D$132,"E",H$5:H$132)</f>
        <v>330630.80000000005</v>
      </c>
      <c r="I138" s="114"/>
      <c r="J138" s="89">
        <f>SUMIF($D$5:$D$132,"E",J$5:J$132)</f>
        <v>8503.15</v>
      </c>
      <c r="K138" s="89">
        <f>SUMIF($D$5:$D$132,"E",K$5:K$132)</f>
        <v>1103.05</v>
      </c>
      <c r="L138" s="117"/>
      <c r="M138" s="89">
        <f>SUMIF($D$5:$D$132,"E",M$5:M$132)</f>
        <v>150.11000000000001</v>
      </c>
      <c r="N138" s="89">
        <f>SUMIF($D$5:$D$132,"E",N$5:N$132)</f>
        <v>27.39</v>
      </c>
      <c r="O138" s="117"/>
      <c r="P138" s="89">
        <f>SUMIF($D$5:$D$132,"E",P$5:P$132)</f>
        <v>65531.18</v>
      </c>
      <c r="Q138" s="89">
        <f>SUMIF($D$5:$D$132,"E",Q$5:Q$132)</f>
        <v>5593.5200000000023</v>
      </c>
      <c r="R138" s="89">
        <f>SUMIF($D$5:$D$132,"E",R$5:R$132)</f>
        <v>59937.66</v>
      </c>
      <c r="S138" s="117"/>
      <c r="T138" s="89">
        <f>SUMIF($D$5:$D$132,"E",T$5:T$132)</f>
        <v>1</v>
      </c>
      <c r="U138" s="89">
        <f>SUMIF($D$5:$D$132,"E",U$5:U$132)</f>
        <v>3910</v>
      </c>
      <c r="V138" s="117"/>
      <c r="W138" s="89">
        <f>SUMIF($D$5:$D$132,"E",W$5:W$132)</f>
        <v>47762.479999999989</v>
      </c>
      <c r="X138" s="89">
        <f>SUMIF($D$5:$D$132,"E",X$5:X$132)</f>
        <v>11514.43</v>
      </c>
      <c r="Y138" s="89">
        <f>SUMIF($D$5:$D$132,"E",Y$5:Y$132)</f>
        <v>36248.050000000003</v>
      </c>
      <c r="Z138" s="117"/>
      <c r="AA138" s="89">
        <f>SUMIF($D$5:$D$132,"E",AA$5:AA$132)</f>
        <v>440511.20999999996</v>
      </c>
      <c r="AB138" s="117"/>
      <c r="AC138" s="89">
        <f>SUMIF($D$5:$D$132,"E",AC$5:AC$132)</f>
        <v>457466.46000000008</v>
      </c>
      <c r="AD138" s="89">
        <f>SUMIF($D$5:$D$132,"E",AD$5:AD$132)</f>
        <v>30649.950000000004</v>
      </c>
      <c r="AE138" s="89">
        <f>SUMIF($D$5:$D$132,"E",AE$5:AE$132)</f>
        <v>426816.50999999995</v>
      </c>
      <c r="AF138" s="89">
        <f>SUMIF($D$5:$D$132,"E",AF$5:AF$132)</f>
        <v>8654.26</v>
      </c>
      <c r="AG138" s="89">
        <f>SUMIF($D$5:$D$132,"E",AG$5:AG$132)</f>
        <v>5040.4400000000005</v>
      </c>
      <c r="AH138" s="412"/>
    </row>
    <row r="139" spans="1:35" s="118" customFormat="1" ht="15" customHeight="1" x14ac:dyDescent="0.2">
      <c r="A139" s="646" t="s">
        <v>20</v>
      </c>
      <c r="B139" s="646"/>
      <c r="C139" s="646"/>
      <c r="D139" s="121"/>
      <c r="E139" s="122"/>
      <c r="F139" s="89">
        <f>SUMIF($D$5:$D$132,"R",F$5:F$132)</f>
        <v>145847.06</v>
      </c>
      <c r="G139" s="89">
        <f>SUMIF($D$5:$D$132,"R",G$5:G$132)</f>
        <v>1665.5899999999997</v>
      </c>
      <c r="H139" s="89">
        <f>SUMIF($D$5:$D$132,"R",H$5:H$132)</f>
        <v>144181.47</v>
      </c>
      <c r="I139" s="114"/>
      <c r="J139" s="89">
        <f>SUMIF($D$5:$D$132,"R",J$5:J$132)</f>
        <v>6009.25</v>
      </c>
      <c r="K139" s="89">
        <f>SUMIF($D$5:$D$132,"R",K$5:K$132)</f>
        <v>2029.46</v>
      </c>
      <c r="L139" s="117"/>
      <c r="M139" s="89">
        <f>SUMIF($D$5:$D$132,"R",M$5:M$132)</f>
        <v>137.28</v>
      </c>
      <c r="N139" s="89">
        <f>SUMIF($D$5:$D$132,"R",N$5:N$132)</f>
        <v>656.94</v>
      </c>
      <c r="O139" s="117"/>
      <c r="P139" s="89">
        <f>SUMIF($D$5:$D$132,"R",P$5:P$132)</f>
        <v>72488.37</v>
      </c>
      <c r="Q139" s="89">
        <f>SUMIF($D$5:$D$132,"R",Q$5:Q$132)</f>
        <v>14258.949999999999</v>
      </c>
      <c r="R139" s="89">
        <f>SUMIF($D$5:$D$132,"R",R$5:R$132)</f>
        <v>58229.42</v>
      </c>
      <c r="S139" s="117"/>
      <c r="T139" s="89">
        <f>SUMIF($D$5:$D$132,"R",T$5:T$132)</f>
        <v>0</v>
      </c>
      <c r="U139" s="89">
        <f>SUMIF($D$5:$D$132,"R",U$5:U$132)</f>
        <v>0</v>
      </c>
      <c r="V139" s="117"/>
      <c r="W139" s="89">
        <f>SUMIF($D$5:$D$132,"R",W$5:W$132)</f>
        <v>15001.390000000001</v>
      </c>
      <c r="X139" s="89">
        <f>SUMIF($D$5:$D$132,"R",X$5:X$132)</f>
        <v>706.40000000000009</v>
      </c>
      <c r="Y139" s="89">
        <f>SUMIF($D$5:$D$132,"R",Y$5:Y$132)</f>
        <v>14294.99</v>
      </c>
      <c r="Z139" s="117"/>
      <c r="AA139" s="89">
        <f>SUMIF($D$5:$D$132,"R",AA$5:AA$132)</f>
        <v>225538.80999999997</v>
      </c>
      <c r="AB139" s="117"/>
      <c r="AC139" s="89">
        <f>SUMIF($D$5:$D$132,"R",AC$5:AC$132)</f>
        <v>233336.81999999998</v>
      </c>
      <c r="AD139" s="89">
        <f>SUMIF($D$5:$D$132,"R",AD$5:AD$132)</f>
        <v>16630.939999999999</v>
      </c>
      <c r="AE139" s="89">
        <f>SUMIF($D$5:$D$132,"R",AE$5:AE$132)</f>
        <v>216705.88</v>
      </c>
      <c r="AF139" s="89">
        <f>SUMIF($D$5:$D$132,"R",AF$5:AF$132)</f>
        <v>6146.5300000000007</v>
      </c>
      <c r="AG139" s="89">
        <f>SUMIF($D$5:$D$132,"R",AG$5:AG$132)</f>
        <v>2686.4</v>
      </c>
      <c r="AH139" s="412"/>
    </row>
    <row r="140" spans="1:35" s="118" customFormat="1" ht="15" customHeight="1" x14ac:dyDescent="0.2">
      <c r="A140" s="646" t="s">
        <v>21</v>
      </c>
      <c r="B140" s="646"/>
      <c r="C140" s="646"/>
      <c r="D140" s="121"/>
      <c r="E140" s="122"/>
      <c r="F140" s="89">
        <f>SUMIF($D$5:$D$132,"N",F$5:F$132)</f>
        <v>211313.19999999995</v>
      </c>
      <c r="G140" s="89">
        <f>SUMIF($D$5:$D$132,"N",G$5:G$132)</f>
        <v>115.8</v>
      </c>
      <c r="H140" s="89">
        <f>SUMIF($D$5:$D$132,"N",H$5:H$132)</f>
        <v>211197.39999999997</v>
      </c>
      <c r="I140" s="114"/>
      <c r="J140" s="89">
        <f>SUMIF($D$5:$D$132,"N",J$5:J$132)</f>
        <v>7382.95</v>
      </c>
      <c r="K140" s="89">
        <f>SUMIF($D$5:$D$132,"N",K$5:K$132)</f>
        <v>7634.14</v>
      </c>
      <c r="L140" s="117"/>
      <c r="M140" s="89">
        <f>SUMIF($D$5:$D$132,"N",M$5:M$132)</f>
        <v>887.54999999999984</v>
      </c>
      <c r="N140" s="89">
        <f>SUMIF($D$5:$D$132,"N",N$5:N$132)</f>
        <v>3508.29</v>
      </c>
      <c r="O140" s="117"/>
      <c r="P140" s="89">
        <f>SUMIF($D$5:$D$132,"N",P$5:P$132)</f>
        <v>88854.550000000017</v>
      </c>
      <c r="Q140" s="89">
        <f>SUMIF($D$5:$D$132,"N",Q$5:Q$132)</f>
        <v>4806.9299999999994</v>
      </c>
      <c r="R140" s="89">
        <f>SUMIF($D$5:$D$132,"N",R$5:R$132)</f>
        <v>84047.880000000019</v>
      </c>
      <c r="S140" s="117"/>
      <c r="T140" s="89">
        <f>SUMIF($D$5:$D$132,"N",T$5:T$132)</f>
        <v>0</v>
      </c>
      <c r="U140" s="89">
        <f>SUMIF($D$5:$D$132,"N",U$5:U$132)</f>
        <v>20.5</v>
      </c>
      <c r="V140" s="117"/>
      <c r="W140" s="89">
        <f>SUMIF($D$5:$D$132,"N",W$5:W$132)</f>
        <v>2882.23</v>
      </c>
      <c r="X140" s="89">
        <f>SUMIF($D$5:$D$132,"N",X$5:X$132)</f>
        <v>288.25</v>
      </c>
      <c r="Y140" s="89">
        <f>SUMIF($D$5:$D$132,"N",Y$5:Y$132)</f>
        <v>2593.9799999999996</v>
      </c>
      <c r="Z140" s="117"/>
      <c r="AA140" s="89">
        <f>SUMIF($D$5:$D$132,"N",AA$5:AA$132)</f>
        <v>317272.69</v>
      </c>
      <c r="AB140" s="117"/>
      <c r="AC140" s="89">
        <f>SUMIF($D$5:$D$132,"N",AC$5:AC$132)</f>
        <v>303049.97999999992</v>
      </c>
      <c r="AD140" s="89">
        <f>SUMIF($D$5:$D$132,"N",AD$5:AD$132)</f>
        <v>5210.9799999999996</v>
      </c>
      <c r="AE140" s="89">
        <f>SUMIF($D$5:$D$132,"N",AE$5:AE$132)</f>
        <v>297839.25999999989</v>
      </c>
      <c r="AF140" s="89">
        <f>SUMIF($D$5:$D$132,"N",AF$5:AF$132)</f>
        <v>8270.5000000000018</v>
      </c>
      <c r="AG140" s="89">
        <f>SUMIF($D$5:$D$132,"N",AG$5:AG$132)</f>
        <v>11162.929999999998</v>
      </c>
      <c r="AH140" s="412"/>
    </row>
    <row r="141" spans="1:35" s="118" customFormat="1" ht="15" customHeight="1" x14ac:dyDescent="0.2">
      <c r="A141" s="442"/>
      <c r="B141" s="442"/>
      <c r="C141" s="442"/>
      <c r="D141" s="121"/>
      <c r="E141" s="122"/>
      <c r="F141" s="338"/>
      <c r="G141" s="338"/>
      <c r="H141" s="338"/>
      <c r="I141" s="114"/>
      <c r="J141" s="338"/>
      <c r="K141" s="338"/>
      <c r="L141" s="117"/>
      <c r="M141" s="338"/>
      <c r="N141" s="338"/>
      <c r="O141" s="117"/>
      <c r="P141" s="338"/>
      <c r="Q141" s="338"/>
      <c r="R141" s="338"/>
      <c r="S141" s="117"/>
      <c r="T141" s="338"/>
      <c r="U141" s="338"/>
      <c r="V141" s="117"/>
      <c r="W141" s="338"/>
      <c r="X141" s="338"/>
      <c r="Y141" s="338"/>
      <c r="Z141" s="117"/>
      <c r="AA141" s="338"/>
      <c r="AB141" s="117"/>
      <c r="AC141" s="338"/>
      <c r="AD141" s="338"/>
      <c r="AE141" s="338"/>
      <c r="AF141" s="338"/>
      <c r="AG141" s="338"/>
      <c r="AH141" s="412"/>
    </row>
    <row r="142" spans="1:35" s="118" customFormat="1" ht="15" customHeight="1" x14ac:dyDescent="0.2">
      <c r="A142" s="641" t="s">
        <v>110</v>
      </c>
      <c r="B142" s="641"/>
      <c r="C142" s="641"/>
      <c r="D142" s="458"/>
      <c r="E142" s="220"/>
      <c r="F142" s="455"/>
      <c r="G142" s="455"/>
      <c r="H142" s="460"/>
      <c r="I142" s="220"/>
      <c r="J142" s="461"/>
      <c r="K142" s="462"/>
      <c r="L142" s="224"/>
      <c r="M142" s="455"/>
      <c r="N142" s="455"/>
      <c r="O142" s="224"/>
      <c r="P142" s="455"/>
      <c r="Q142" s="455"/>
      <c r="R142" s="455"/>
      <c r="S142" s="224"/>
      <c r="T142" s="455"/>
      <c r="U142" s="455"/>
      <c r="V142" s="224"/>
      <c r="W142" s="455"/>
      <c r="X142" s="455"/>
      <c r="Y142" s="460"/>
      <c r="Z142" s="224"/>
      <c r="AA142" s="224"/>
      <c r="AB142" s="224"/>
      <c r="AC142" s="224"/>
      <c r="AD142" s="224"/>
      <c r="AE142" s="224"/>
      <c r="AF142" s="224"/>
      <c r="AG142" s="224"/>
      <c r="AH142" s="412"/>
    </row>
    <row r="143" spans="1:35" s="118" customFormat="1" ht="15" customHeight="1" x14ac:dyDescent="0.2">
      <c r="A143" s="622" t="s">
        <v>17</v>
      </c>
      <c r="B143" s="623"/>
      <c r="C143" s="624"/>
      <c r="D143" s="458"/>
      <c r="E143" s="220"/>
      <c r="F143" s="221">
        <v>1707114.550000001</v>
      </c>
      <c r="G143" s="221">
        <v>259520.49000000002</v>
      </c>
      <c r="H143" s="221">
        <v>1447594.0600000005</v>
      </c>
      <c r="I143" s="220"/>
      <c r="J143" s="221">
        <v>57856.330000000024</v>
      </c>
      <c r="K143" s="221">
        <v>10142.58</v>
      </c>
      <c r="L143" s="302"/>
      <c r="M143" s="221">
        <v>9364.8499999999985</v>
      </c>
      <c r="N143" s="221">
        <v>5019.1099999999997</v>
      </c>
      <c r="O143" s="302"/>
      <c r="P143" s="221">
        <v>234246.19999999998</v>
      </c>
      <c r="Q143" s="221">
        <v>4731.3499999999985</v>
      </c>
      <c r="R143" s="221">
        <v>229514.84999999998</v>
      </c>
      <c r="S143" s="302"/>
      <c r="T143" s="221">
        <v>155.88</v>
      </c>
      <c r="U143" s="221">
        <v>75.430000000000007</v>
      </c>
      <c r="V143" s="302"/>
      <c r="W143" s="221">
        <v>209717.83000000005</v>
      </c>
      <c r="X143" s="221">
        <v>31282.25</v>
      </c>
      <c r="Y143" s="221">
        <v>178435.58000000005</v>
      </c>
      <c r="Z143" s="302"/>
      <c r="AA143" s="221">
        <v>1938158.6699999997</v>
      </c>
      <c r="AB143" s="221"/>
      <c r="AC143" s="221">
        <v>2151078.5799999996</v>
      </c>
      <c r="AD143" s="221">
        <v>295534.08999999997</v>
      </c>
      <c r="AE143" s="221">
        <v>1855544.49</v>
      </c>
      <c r="AF143" s="221">
        <v>67377.060000000027</v>
      </c>
      <c r="AG143" s="221">
        <v>15237.119999999999</v>
      </c>
      <c r="AH143" s="412"/>
    </row>
    <row r="144" spans="1:35" s="118" customFormat="1" ht="15" customHeight="1" x14ac:dyDescent="0.2">
      <c r="A144" s="224"/>
      <c r="B144" s="224"/>
      <c r="C144" s="224"/>
      <c r="D144" s="458"/>
      <c r="E144" s="220"/>
      <c r="F144" s="454"/>
      <c r="G144" s="454"/>
      <c r="H144" s="454"/>
      <c r="I144" s="220"/>
      <c r="J144" s="454"/>
      <c r="K144" s="454"/>
      <c r="L144" s="224"/>
      <c r="M144" s="454"/>
      <c r="N144" s="454"/>
      <c r="O144" s="224"/>
      <c r="P144" s="454"/>
      <c r="Q144" s="454"/>
      <c r="R144" s="454"/>
      <c r="S144" s="224"/>
      <c r="T144" s="454"/>
      <c r="U144" s="454"/>
      <c r="V144" s="224"/>
      <c r="W144" s="454"/>
      <c r="X144" s="454"/>
      <c r="Y144" s="454"/>
      <c r="Z144" s="224"/>
      <c r="AA144" s="454"/>
      <c r="AB144" s="224"/>
      <c r="AC144" s="224"/>
      <c r="AD144" s="224"/>
      <c r="AE144" s="224"/>
      <c r="AF144" s="224"/>
      <c r="AG144" s="224"/>
      <c r="AH144" s="412"/>
    </row>
    <row r="145" spans="1:35" s="118" customFormat="1" ht="15" customHeight="1" x14ac:dyDescent="0.2">
      <c r="A145" s="625" t="s">
        <v>18</v>
      </c>
      <c r="B145" s="625"/>
      <c r="C145" s="625"/>
      <c r="D145" s="459"/>
      <c r="E145" s="225"/>
      <c r="F145" s="226">
        <v>984680.18</v>
      </c>
      <c r="G145" s="226">
        <v>231973.97</v>
      </c>
      <c r="H145" s="226">
        <v>752706.21000000008</v>
      </c>
      <c r="I145" s="220"/>
      <c r="J145" s="226">
        <v>33087.550000000003</v>
      </c>
      <c r="K145" s="226">
        <v>6289.25</v>
      </c>
      <c r="L145" s="224"/>
      <c r="M145" s="226">
        <v>1327.27</v>
      </c>
      <c r="N145" s="226">
        <v>0</v>
      </c>
      <c r="O145" s="224"/>
      <c r="P145" s="226">
        <v>0</v>
      </c>
      <c r="Q145" s="226">
        <v>0</v>
      </c>
      <c r="R145" s="226">
        <v>0</v>
      </c>
      <c r="S145" s="224"/>
      <c r="T145" s="226">
        <v>37.65</v>
      </c>
      <c r="U145" s="226">
        <v>72.25</v>
      </c>
      <c r="V145" s="224"/>
      <c r="W145" s="226">
        <v>146666.54</v>
      </c>
      <c r="X145" s="226">
        <v>17827.59</v>
      </c>
      <c r="Y145" s="226">
        <v>128838.95000000001</v>
      </c>
      <c r="Z145" s="224"/>
      <c r="AA145" s="226">
        <v>922359.13</v>
      </c>
      <c r="AB145" s="224"/>
      <c r="AC145" s="226">
        <v>1131346.7200000002</v>
      </c>
      <c r="AD145" s="226">
        <v>249801.56</v>
      </c>
      <c r="AE145" s="226">
        <v>881545.15999999992</v>
      </c>
      <c r="AF145" s="226">
        <v>34452.470000000008</v>
      </c>
      <c r="AG145" s="226">
        <v>6361.5</v>
      </c>
      <c r="AH145" s="412"/>
    </row>
    <row r="146" spans="1:35" s="118" customFormat="1" ht="15" customHeight="1" x14ac:dyDescent="0.2">
      <c r="A146" s="625" t="s">
        <v>19</v>
      </c>
      <c r="B146" s="625"/>
      <c r="C146" s="625"/>
      <c r="D146" s="459"/>
      <c r="E146" s="225"/>
      <c r="F146" s="226">
        <v>353070.51999999996</v>
      </c>
      <c r="G146" s="226">
        <v>14243.56</v>
      </c>
      <c r="H146" s="226">
        <v>338826.95999999996</v>
      </c>
      <c r="I146" s="220"/>
      <c r="J146" s="226">
        <v>11954.68</v>
      </c>
      <c r="K146" s="226">
        <v>1099.9499999999998</v>
      </c>
      <c r="L146" s="224"/>
      <c r="M146" s="226">
        <v>2451.36</v>
      </c>
      <c r="N146" s="226">
        <v>0</v>
      </c>
      <c r="O146" s="224"/>
      <c r="P146" s="226">
        <v>63253.62</v>
      </c>
      <c r="Q146" s="226">
        <v>30.109999999999985</v>
      </c>
      <c r="R146" s="226">
        <v>63223.51</v>
      </c>
      <c r="S146" s="224"/>
      <c r="T146" s="226">
        <v>25</v>
      </c>
      <c r="U146" s="226">
        <v>0</v>
      </c>
      <c r="V146" s="224"/>
      <c r="W146" s="226">
        <v>44929.369999999995</v>
      </c>
      <c r="X146" s="226">
        <v>12720.8</v>
      </c>
      <c r="Y146" s="226">
        <v>32208.569999999996</v>
      </c>
      <c r="Z146" s="224"/>
      <c r="AA146" s="226">
        <v>449790.03</v>
      </c>
      <c r="AB146" s="224"/>
      <c r="AC146" s="226">
        <v>461253.51</v>
      </c>
      <c r="AD146" s="226">
        <v>26994.469999999998</v>
      </c>
      <c r="AE146" s="226">
        <v>434259.04</v>
      </c>
      <c r="AF146" s="226">
        <v>14431.04</v>
      </c>
      <c r="AG146" s="226">
        <v>1099.9499999999998</v>
      </c>
      <c r="AH146" s="412"/>
    </row>
    <row r="147" spans="1:35" s="118" customFormat="1" ht="15" customHeight="1" x14ac:dyDescent="0.2">
      <c r="A147" s="625" t="s">
        <v>20</v>
      </c>
      <c r="B147" s="625"/>
      <c r="C147" s="625"/>
      <c r="D147" s="459"/>
      <c r="E147" s="225"/>
      <c r="F147" s="226">
        <v>153121.4</v>
      </c>
      <c r="G147" s="226">
        <v>13302.96</v>
      </c>
      <c r="H147" s="226">
        <v>139818.44</v>
      </c>
      <c r="I147" s="220"/>
      <c r="J147" s="226">
        <v>5032.8500000000004</v>
      </c>
      <c r="K147" s="226">
        <v>1820.54</v>
      </c>
      <c r="L147" s="224"/>
      <c r="M147" s="226">
        <v>327.27</v>
      </c>
      <c r="N147" s="226">
        <v>4.42</v>
      </c>
      <c r="O147" s="224"/>
      <c r="P147" s="226">
        <v>58175.439999999988</v>
      </c>
      <c r="Q147" s="226">
        <v>1482.81</v>
      </c>
      <c r="R147" s="226">
        <v>56692.62999999999</v>
      </c>
      <c r="S147" s="224"/>
      <c r="T147" s="226">
        <v>0</v>
      </c>
      <c r="U147" s="226">
        <v>0</v>
      </c>
      <c r="V147" s="224"/>
      <c r="W147" s="226">
        <v>12108.74</v>
      </c>
      <c r="X147" s="226">
        <v>606.20000000000016</v>
      </c>
      <c r="Y147" s="226">
        <v>11502.539999999999</v>
      </c>
      <c r="Z147" s="224"/>
      <c r="AA147" s="226">
        <v>215198.69</v>
      </c>
      <c r="AB147" s="224"/>
      <c r="AC147" s="226">
        <v>223405.58000000002</v>
      </c>
      <c r="AD147" s="226">
        <v>15391.97</v>
      </c>
      <c r="AE147" s="226">
        <v>208013.61000000002</v>
      </c>
      <c r="AF147" s="226">
        <v>5360.12</v>
      </c>
      <c r="AG147" s="226">
        <v>1824.96</v>
      </c>
      <c r="AH147" s="412"/>
    </row>
    <row r="148" spans="1:35" s="118" customFormat="1" ht="15" customHeight="1" x14ac:dyDescent="0.2">
      <c r="A148" s="625" t="s">
        <v>21</v>
      </c>
      <c r="B148" s="625"/>
      <c r="C148" s="625"/>
      <c r="D148" s="459"/>
      <c r="E148" s="225"/>
      <c r="F148" s="226">
        <v>216242.44999999998</v>
      </c>
      <c r="G148" s="226">
        <v>0</v>
      </c>
      <c r="H148" s="226">
        <v>216242.44999999998</v>
      </c>
      <c r="I148" s="220"/>
      <c r="J148" s="226">
        <v>7781.2500000000018</v>
      </c>
      <c r="K148" s="226">
        <v>932.83999999999992</v>
      </c>
      <c r="L148" s="224"/>
      <c r="M148" s="226">
        <v>5258.95</v>
      </c>
      <c r="N148" s="226">
        <v>5014.6899999999996</v>
      </c>
      <c r="O148" s="224"/>
      <c r="P148" s="226">
        <v>112817.14</v>
      </c>
      <c r="Q148" s="226">
        <v>3218.4299999999994</v>
      </c>
      <c r="R148" s="226">
        <v>109598.71</v>
      </c>
      <c r="S148" s="224"/>
      <c r="T148" s="226">
        <v>93.23</v>
      </c>
      <c r="U148" s="226">
        <v>3.18</v>
      </c>
      <c r="V148" s="224"/>
      <c r="W148" s="226">
        <v>6013.1799999999994</v>
      </c>
      <c r="X148" s="226">
        <v>127.65999999999998</v>
      </c>
      <c r="Y148" s="226">
        <v>5885.5199999999995</v>
      </c>
      <c r="Z148" s="224"/>
      <c r="AA148" s="226">
        <v>350810.81999999995</v>
      </c>
      <c r="AB148" s="224"/>
      <c r="AC148" s="226">
        <v>335072.77000000008</v>
      </c>
      <c r="AD148" s="226">
        <v>3346.0899999999992</v>
      </c>
      <c r="AE148" s="226">
        <v>331726.67999999993</v>
      </c>
      <c r="AF148" s="226">
        <v>13133.43</v>
      </c>
      <c r="AG148" s="226">
        <v>5950.71</v>
      </c>
      <c r="AH148" s="412"/>
    </row>
    <row r="149" spans="1:35" s="118" customFormat="1" ht="15" customHeight="1" x14ac:dyDescent="0.2">
      <c r="A149" s="442"/>
      <c r="B149" s="442"/>
      <c r="C149" s="442"/>
      <c r="D149" s="121"/>
      <c r="E149" s="122"/>
      <c r="F149" s="338"/>
      <c r="G149" s="338"/>
      <c r="H149" s="338"/>
      <c r="I149" s="114"/>
      <c r="J149" s="338"/>
      <c r="K149" s="338"/>
      <c r="L149" s="117"/>
      <c r="M149" s="338"/>
      <c r="N149" s="338"/>
      <c r="O149" s="117"/>
      <c r="P149" s="338"/>
      <c r="Q149" s="338"/>
      <c r="R149" s="338"/>
      <c r="S149" s="117"/>
      <c r="T149" s="338"/>
      <c r="U149" s="338"/>
      <c r="V149" s="117"/>
      <c r="W149" s="338"/>
      <c r="X149" s="338"/>
      <c r="Y149" s="338"/>
      <c r="Z149" s="117"/>
      <c r="AA149" s="338"/>
      <c r="AB149" s="117"/>
      <c r="AC149" s="338"/>
      <c r="AD149" s="338"/>
      <c r="AE149" s="338"/>
      <c r="AF149" s="338"/>
      <c r="AG149" s="338"/>
      <c r="AH149" s="412"/>
    </row>
    <row r="150" spans="1:35" x14ac:dyDescent="0.2">
      <c r="Y150" s="415"/>
      <c r="AA150" s="431"/>
    </row>
    <row r="151" spans="1:35" s="118" customFormat="1" ht="11.25" x14ac:dyDescent="0.2">
      <c r="A151" s="651" t="s">
        <v>87</v>
      </c>
      <c r="B151" s="651"/>
      <c r="C151" s="651"/>
      <c r="D151" s="350"/>
      <c r="E151" s="351"/>
      <c r="F151" s="355"/>
      <c r="G151" s="355"/>
      <c r="H151" s="362"/>
      <c r="I151" s="354"/>
      <c r="J151" s="354"/>
      <c r="K151" s="354"/>
      <c r="L151" s="354"/>
      <c r="M151" s="355"/>
      <c r="N151" s="355"/>
      <c r="O151" s="354"/>
      <c r="P151" s="355"/>
      <c r="Q151" s="355"/>
      <c r="R151" s="355"/>
      <c r="S151" s="354"/>
      <c r="T151" s="355"/>
      <c r="U151" s="355"/>
      <c r="V151" s="354"/>
      <c r="W151" s="355"/>
      <c r="X151" s="355"/>
      <c r="Y151" s="355"/>
      <c r="Z151" s="354"/>
      <c r="AA151" s="354"/>
      <c r="AB151" s="354"/>
      <c r="AC151" s="354"/>
      <c r="AD151" s="354"/>
      <c r="AE151" s="354"/>
      <c r="AF151" s="354"/>
      <c r="AG151" s="354"/>
    </row>
    <row r="152" spans="1:35" s="118" customFormat="1" ht="15" customHeight="1" x14ac:dyDescent="0.2">
      <c r="A152" s="652" t="s">
        <v>17</v>
      </c>
      <c r="B152" s="653"/>
      <c r="C152" s="654"/>
      <c r="D152" s="350"/>
      <c r="E152" s="351"/>
      <c r="F152" s="352">
        <v>1672940</v>
      </c>
      <c r="G152" s="352">
        <v>256069.37000000002</v>
      </c>
      <c r="H152" s="352">
        <v>1416870.6300000001</v>
      </c>
      <c r="I152" s="352">
        <v>0</v>
      </c>
      <c r="J152" s="352">
        <v>48910.810000000005</v>
      </c>
      <c r="K152" s="352">
        <v>21302.940195000003</v>
      </c>
      <c r="L152" s="353"/>
      <c r="M152" s="352">
        <v>4848.5300000000007</v>
      </c>
      <c r="N152" s="352">
        <v>6032.17</v>
      </c>
      <c r="O152" s="353"/>
      <c r="P152" s="352">
        <v>257836.81999999998</v>
      </c>
      <c r="Q152" s="352">
        <v>10337.640000000001</v>
      </c>
      <c r="R152" s="352">
        <v>247499.18</v>
      </c>
      <c r="S152" s="353"/>
      <c r="T152" s="352">
        <v>476.96</v>
      </c>
      <c r="U152" s="352">
        <v>97.22999999999999</v>
      </c>
      <c r="V152" s="353"/>
      <c r="W152" s="352">
        <v>196426.46</v>
      </c>
      <c r="X152" s="352">
        <v>24499.623</v>
      </c>
      <c r="Y152" s="352">
        <v>171926.83700000009</v>
      </c>
      <c r="Z152" s="353"/>
      <c r="AA152" s="352">
        <v>1917965.2871949996</v>
      </c>
      <c r="AB152" s="352"/>
      <c r="AC152" s="352">
        <v>2127203.2800000003</v>
      </c>
      <c r="AD152" s="352">
        <v>290906.63299999991</v>
      </c>
      <c r="AE152" s="352">
        <v>1836296.6470000006</v>
      </c>
      <c r="AF152" s="352">
        <v>54236.3</v>
      </c>
      <c r="AG152" s="352">
        <v>27432.34019499999</v>
      </c>
      <c r="AI152" s="219"/>
    </row>
    <row r="153" spans="1:35" s="118" customFormat="1" ht="11.25" x14ac:dyDescent="0.2">
      <c r="A153" s="354"/>
      <c r="B153" s="354"/>
      <c r="C153" s="354"/>
      <c r="D153" s="350"/>
      <c r="E153" s="351"/>
      <c r="F153" s="346"/>
      <c r="G153" s="346"/>
      <c r="H153" s="346"/>
      <c r="I153" s="354"/>
      <c r="J153" s="346"/>
      <c r="K153" s="346"/>
      <c r="L153" s="354"/>
      <c r="M153" s="346"/>
      <c r="N153" s="346"/>
      <c r="O153" s="354"/>
      <c r="P153" s="346"/>
      <c r="Q153" s="346"/>
      <c r="R153" s="346"/>
      <c r="S153" s="354"/>
      <c r="T153" s="346"/>
      <c r="U153" s="346"/>
      <c r="V153" s="354"/>
      <c r="W153" s="346"/>
      <c r="X153" s="346"/>
      <c r="Y153" s="346"/>
      <c r="Z153" s="354"/>
      <c r="AA153" s="346"/>
      <c r="AB153" s="354"/>
      <c r="AC153" s="354"/>
      <c r="AD153" s="354"/>
      <c r="AE153" s="354"/>
      <c r="AF153" s="354"/>
      <c r="AG153" s="354"/>
    </row>
    <row r="154" spans="1:35" s="118" customFormat="1" ht="15" customHeight="1" x14ac:dyDescent="0.2">
      <c r="A154" s="655" t="s">
        <v>18</v>
      </c>
      <c r="B154" s="655"/>
      <c r="C154" s="655"/>
      <c r="D154" s="356"/>
      <c r="E154" s="357"/>
      <c r="F154" s="347">
        <v>954985</v>
      </c>
      <c r="G154" s="347">
        <v>224687.05</v>
      </c>
      <c r="H154" s="347">
        <v>730297.95</v>
      </c>
      <c r="I154" s="354"/>
      <c r="J154" s="347">
        <v>28281.689999999991</v>
      </c>
      <c r="K154" s="347">
        <v>15371.516599999999</v>
      </c>
      <c r="L154" s="354"/>
      <c r="M154" s="347">
        <v>10.63</v>
      </c>
      <c r="N154" s="347">
        <v>0</v>
      </c>
      <c r="O154" s="354"/>
      <c r="P154" s="347">
        <v>1405.26</v>
      </c>
      <c r="Q154" s="347">
        <v>75</v>
      </c>
      <c r="R154" s="347">
        <v>1330.26</v>
      </c>
      <c r="S154" s="354"/>
      <c r="T154" s="347">
        <v>455.71</v>
      </c>
      <c r="U154" s="347">
        <v>90</v>
      </c>
      <c r="V154" s="354"/>
      <c r="W154" s="347">
        <v>135816.66999999998</v>
      </c>
      <c r="X154" s="347">
        <v>14443.043000000003</v>
      </c>
      <c r="Y154" s="347">
        <v>121373.62699999999</v>
      </c>
      <c r="Z154" s="354"/>
      <c r="AA154" s="347">
        <v>897211.38359999983</v>
      </c>
      <c r="AB154" s="354"/>
      <c r="AC154" s="347">
        <v>1092206.9299999997</v>
      </c>
      <c r="AD154" s="347">
        <v>239205.09300000002</v>
      </c>
      <c r="AE154" s="347">
        <v>853001.83699999994</v>
      </c>
      <c r="AF154" s="347">
        <v>28748.029999999995</v>
      </c>
      <c r="AG154" s="347">
        <v>15461.516599999999</v>
      </c>
    </row>
    <row r="155" spans="1:35" s="118" customFormat="1" ht="15" customHeight="1" x14ac:dyDescent="0.2">
      <c r="A155" s="655" t="s">
        <v>19</v>
      </c>
      <c r="B155" s="655"/>
      <c r="C155" s="655"/>
      <c r="D155" s="356"/>
      <c r="E155" s="357"/>
      <c r="F155" s="347">
        <v>345397</v>
      </c>
      <c r="G155" s="347">
        <v>16144</v>
      </c>
      <c r="H155" s="347">
        <v>329253</v>
      </c>
      <c r="I155" s="354"/>
      <c r="J155" s="347">
        <v>8030.7800000000007</v>
      </c>
      <c r="K155" s="347">
        <v>1489.1096000000002</v>
      </c>
      <c r="L155" s="354"/>
      <c r="M155" s="347">
        <v>53.96</v>
      </c>
      <c r="N155" s="347">
        <v>2292</v>
      </c>
      <c r="O155" s="354"/>
      <c r="P155" s="347">
        <v>74202.69</v>
      </c>
      <c r="Q155" s="347">
        <v>1767.45</v>
      </c>
      <c r="R155" s="347">
        <v>72435.240000000005</v>
      </c>
      <c r="S155" s="354"/>
      <c r="T155" s="347">
        <v>0.85000000000000042</v>
      </c>
      <c r="U155" s="347">
        <v>0</v>
      </c>
      <c r="V155" s="354"/>
      <c r="W155" s="347">
        <v>39692.5</v>
      </c>
      <c r="X155" s="347">
        <v>4513.8600000000006</v>
      </c>
      <c r="Y155" s="347">
        <v>35178.639999999999</v>
      </c>
      <c r="Z155" s="354"/>
      <c r="AA155" s="347">
        <v>448733.57959999994</v>
      </c>
      <c r="AB155" s="354"/>
      <c r="AC155" s="347">
        <v>459292.18999999994</v>
      </c>
      <c r="AD155" s="347">
        <v>22425.309999999998</v>
      </c>
      <c r="AE155" s="347">
        <v>436866.88</v>
      </c>
      <c r="AF155" s="347">
        <v>8085.59</v>
      </c>
      <c r="AG155" s="347">
        <v>3781.1095999999998</v>
      </c>
    </row>
    <row r="156" spans="1:35" s="118" customFormat="1" ht="15" customHeight="1" x14ac:dyDescent="0.2">
      <c r="A156" s="655" t="s">
        <v>20</v>
      </c>
      <c r="B156" s="655"/>
      <c r="C156" s="655"/>
      <c r="D156" s="356"/>
      <c r="E156" s="357"/>
      <c r="F156" s="347">
        <v>152742</v>
      </c>
      <c r="G156" s="347">
        <v>15238.32</v>
      </c>
      <c r="H156" s="347">
        <v>137503.67999999999</v>
      </c>
      <c r="I156" s="354"/>
      <c r="J156" s="347">
        <v>4232.2699999999995</v>
      </c>
      <c r="K156" s="347">
        <v>2988.8695879999996</v>
      </c>
      <c r="L156" s="354"/>
      <c r="M156" s="347">
        <v>2333.4599999999996</v>
      </c>
      <c r="N156" s="347">
        <v>1202.31</v>
      </c>
      <c r="O156" s="354"/>
      <c r="P156" s="347">
        <v>52942.140000000007</v>
      </c>
      <c r="Q156" s="347">
        <v>7119.1900000000005</v>
      </c>
      <c r="R156" s="347">
        <v>45822.950000000004</v>
      </c>
      <c r="S156" s="354"/>
      <c r="T156" s="347">
        <v>0</v>
      </c>
      <c r="U156" s="347">
        <v>0</v>
      </c>
      <c r="V156" s="354"/>
      <c r="W156" s="347">
        <v>13154.72</v>
      </c>
      <c r="X156" s="347">
        <v>655.34</v>
      </c>
      <c r="Y156" s="347">
        <v>12499.380000000001</v>
      </c>
      <c r="Z156" s="354"/>
      <c r="AA156" s="347">
        <v>206582.91958800002</v>
      </c>
      <c r="AB156" s="354"/>
      <c r="AC156" s="347">
        <v>218838.86</v>
      </c>
      <c r="AD156" s="347">
        <v>23012.85</v>
      </c>
      <c r="AE156" s="347">
        <v>195826.01</v>
      </c>
      <c r="AF156" s="347">
        <v>6565.73</v>
      </c>
      <c r="AG156" s="347">
        <v>4191.179588</v>
      </c>
    </row>
    <row r="157" spans="1:35" s="118" customFormat="1" ht="15" customHeight="1" x14ac:dyDescent="0.2">
      <c r="A157" s="655" t="s">
        <v>21</v>
      </c>
      <c r="B157" s="655"/>
      <c r="C157" s="655"/>
      <c r="D157" s="356"/>
      <c r="E157" s="357"/>
      <c r="F157" s="347">
        <v>219816</v>
      </c>
      <c r="G157" s="347">
        <v>0</v>
      </c>
      <c r="H157" s="347">
        <v>219816</v>
      </c>
      <c r="I157" s="354"/>
      <c r="J157" s="347">
        <v>8366.07</v>
      </c>
      <c r="K157" s="347">
        <v>1453.4444069999997</v>
      </c>
      <c r="L157" s="354"/>
      <c r="M157" s="347">
        <v>2450.4800000000005</v>
      </c>
      <c r="N157" s="347">
        <v>2537.86</v>
      </c>
      <c r="O157" s="354"/>
      <c r="P157" s="347">
        <v>129286.73000000003</v>
      </c>
      <c r="Q157" s="347">
        <v>1376</v>
      </c>
      <c r="R157" s="347">
        <v>127910.73000000003</v>
      </c>
      <c r="S157" s="354"/>
      <c r="T157" s="347">
        <v>20.399999999999999</v>
      </c>
      <c r="U157" s="347">
        <v>7.23</v>
      </c>
      <c r="V157" s="354"/>
      <c r="W157" s="347">
        <v>7762.5700000000006</v>
      </c>
      <c r="X157" s="347">
        <v>4887.38</v>
      </c>
      <c r="Y157" s="347">
        <v>2875.19</v>
      </c>
      <c r="Z157" s="354"/>
      <c r="AA157" s="347">
        <v>365437.40440699999</v>
      </c>
      <c r="AB157" s="354"/>
      <c r="AC157" s="347">
        <v>356865.30000000005</v>
      </c>
      <c r="AD157" s="347">
        <v>6263.38</v>
      </c>
      <c r="AE157" s="347">
        <v>350601.92000000004</v>
      </c>
      <c r="AF157" s="347">
        <v>10836.949999999997</v>
      </c>
      <c r="AG157" s="347">
        <v>3998.5344069999996</v>
      </c>
    </row>
    <row r="159" spans="1:35" s="118" customFormat="1" ht="15" customHeight="1" x14ac:dyDescent="0.2">
      <c r="A159" s="618" t="s">
        <v>17</v>
      </c>
      <c r="B159" s="619"/>
      <c r="C159" s="620"/>
      <c r="D159" s="116"/>
      <c r="E159" s="114"/>
      <c r="F159" s="249">
        <v>1663175.49</v>
      </c>
      <c r="G159" s="249">
        <v>249215</v>
      </c>
      <c r="H159" s="249">
        <v>1413960.49</v>
      </c>
      <c r="I159" s="249">
        <v>0</v>
      </c>
      <c r="J159" s="249">
        <v>49410.109999999986</v>
      </c>
      <c r="K159" s="249">
        <v>20534.441699999999</v>
      </c>
      <c r="L159" s="250"/>
      <c r="M159" s="249">
        <v>1565.6048000000001</v>
      </c>
      <c r="N159" s="249">
        <v>4230.08</v>
      </c>
      <c r="O159" s="251"/>
      <c r="P159" s="251"/>
      <c r="Q159" s="251"/>
      <c r="R159" s="249">
        <v>234103.12</v>
      </c>
      <c r="S159" s="250"/>
      <c r="T159" s="249">
        <v>562.12</v>
      </c>
      <c r="U159" s="249">
        <v>51.04</v>
      </c>
      <c r="V159" s="251"/>
      <c r="W159" s="251"/>
      <c r="X159" s="251"/>
      <c r="Y159" s="249">
        <v>156077.06</v>
      </c>
      <c r="Z159" s="250"/>
      <c r="AA159" s="249">
        <v>1880494.0664999997</v>
      </c>
    </row>
    <row r="160" spans="1:35" s="118" customFormat="1" ht="11.25" x14ac:dyDescent="0.2">
      <c r="A160" s="232"/>
      <c r="B160" s="305" t="s">
        <v>86</v>
      </c>
      <c r="C160" s="232"/>
      <c r="D160" s="116"/>
      <c r="E160" s="114"/>
      <c r="F160" s="237"/>
      <c r="G160" s="237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</row>
    <row r="161" spans="1:28" s="118" customFormat="1" ht="15" customHeight="1" x14ac:dyDescent="0.2">
      <c r="A161" s="621" t="s">
        <v>18</v>
      </c>
      <c r="B161" s="621"/>
      <c r="C161" s="621"/>
      <c r="D161" s="121"/>
      <c r="E161" s="122"/>
      <c r="F161" s="234">
        <v>931416</v>
      </c>
      <c r="G161" s="234">
        <v>217432</v>
      </c>
      <c r="H161" s="234">
        <v>713984</v>
      </c>
      <c r="I161" s="251"/>
      <c r="J161" s="234">
        <v>27615.420000000002</v>
      </c>
      <c r="K161" s="234">
        <v>14195.404500000002</v>
      </c>
      <c r="L161" s="251"/>
      <c r="M161" s="234">
        <v>6.76</v>
      </c>
      <c r="N161" s="234">
        <v>0</v>
      </c>
      <c r="O161" s="251"/>
      <c r="P161" s="251"/>
      <c r="Q161" s="251"/>
      <c r="R161" s="234">
        <v>5092.6499999999996</v>
      </c>
      <c r="S161" s="251"/>
      <c r="T161" s="234">
        <v>148.6</v>
      </c>
      <c r="U161" s="234">
        <v>40</v>
      </c>
      <c r="V161" s="251"/>
      <c r="W161" s="251"/>
      <c r="X161" s="251"/>
      <c r="Y161" s="234">
        <v>110151.77000000002</v>
      </c>
      <c r="Z161" s="251"/>
      <c r="AA161" s="234">
        <v>871234.6044999999</v>
      </c>
    </row>
    <row r="162" spans="1:28" s="118" customFormat="1" ht="15" customHeight="1" x14ac:dyDescent="0.2">
      <c r="A162" s="621" t="s">
        <v>19</v>
      </c>
      <c r="B162" s="621"/>
      <c r="C162" s="621"/>
      <c r="D162" s="121"/>
      <c r="E162" s="122"/>
      <c r="F162" s="234">
        <v>338443</v>
      </c>
      <c r="G162" s="234">
        <v>17400</v>
      </c>
      <c r="H162" s="234">
        <v>321043</v>
      </c>
      <c r="I162" s="251"/>
      <c r="J162" s="234">
        <v>8480.619999999999</v>
      </c>
      <c r="K162" s="234">
        <v>1094.6100000000001</v>
      </c>
      <c r="L162" s="251"/>
      <c r="M162" s="234">
        <v>112.06</v>
      </c>
      <c r="N162" s="234">
        <v>0</v>
      </c>
      <c r="O162" s="251"/>
      <c r="P162" s="251"/>
      <c r="Q162" s="251"/>
      <c r="R162" s="234">
        <v>40373.649999999994</v>
      </c>
      <c r="S162" s="251"/>
      <c r="T162" s="234">
        <v>4.5199999999999996</v>
      </c>
      <c r="U162" s="234">
        <v>0</v>
      </c>
      <c r="V162" s="251"/>
      <c r="W162" s="251"/>
      <c r="X162" s="251"/>
      <c r="Y162" s="234">
        <v>37986.879999999997</v>
      </c>
      <c r="Z162" s="251"/>
      <c r="AA162" s="234">
        <v>409095.33999999991</v>
      </c>
    </row>
    <row r="163" spans="1:28" s="118" customFormat="1" ht="15" customHeight="1" x14ac:dyDescent="0.2">
      <c r="A163" s="621" t="s">
        <v>20</v>
      </c>
      <c r="B163" s="621"/>
      <c r="C163" s="621"/>
      <c r="D163" s="121"/>
      <c r="E163" s="122"/>
      <c r="F163" s="234">
        <v>156710</v>
      </c>
      <c r="G163" s="234">
        <v>14383</v>
      </c>
      <c r="H163" s="234">
        <v>142327</v>
      </c>
      <c r="I163" s="251"/>
      <c r="J163" s="234">
        <v>5299.4299999999994</v>
      </c>
      <c r="K163" s="234">
        <v>2417.7972</v>
      </c>
      <c r="L163" s="251"/>
      <c r="M163" s="234">
        <v>119.53999999999999</v>
      </c>
      <c r="N163" s="234">
        <v>1288.3400000000001</v>
      </c>
      <c r="O163" s="251"/>
      <c r="P163" s="251"/>
      <c r="Q163" s="251"/>
      <c r="R163" s="234">
        <v>65635.37</v>
      </c>
      <c r="S163" s="251"/>
      <c r="T163" s="234">
        <v>340</v>
      </c>
      <c r="U163" s="234">
        <v>0</v>
      </c>
      <c r="V163" s="251"/>
      <c r="W163" s="251"/>
      <c r="X163" s="251"/>
      <c r="Y163" s="234">
        <v>5080.62</v>
      </c>
      <c r="Z163" s="251"/>
      <c r="AA163" s="234">
        <v>222508.09719999996</v>
      </c>
    </row>
    <row r="164" spans="1:28" s="118" customFormat="1" ht="15" customHeight="1" x14ac:dyDescent="0.2">
      <c r="A164" s="621" t="s">
        <v>21</v>
      </c>
      <c r="B164" s="621"/>
      <c r="C164" s="621"/>
      <c r="D164" s="121"/>
      <c r="E164" s="122"/>
      <c r="F164" s="234">
        <v>236606.49</v>
      </c>
      <c r="G164" s="234">
        <v>0</v>
      </c>
      <c r="H164" s="234">
        <v>236606.49</v>
      </c>
      <c r="I164" s="251"/>
      <c r="J164" s="234">
        <v>8014.6399999999985</v>
      </c>
      <c r="K164" s="234">
        <v>2826.63</v>
      </c>
      <c r="L164" s="251"/>
      <c r="M164" s="234">
        <v>1327.2448000000002</v>
      </c>
      <c r="N164" s="234">
        <v>2941.74</v>
      </c>
      <c r="O164" s="251"/>
      <c r="P164" s="251"/>
      <c r="Q164" s="251"/>
      <c r="R164" s="234">
        <v>123001.45000000001</v>
      </c>
      <c r="S164" s="251"/>
      <c r="T164" s="234">
        <v>69</v>
      </c>
      <c r="U164" s="234">
        <v>11.04</v>
      </c>
      <c r="V164" s="251"/>
      <c r="W164" s="251"/>
      <c r="X164" s="251"/>
      <c r="Y164" s="234">
        <v>2857.7900000000004</v>
      </c>
      <c r="Z164" s="251"/>
      <c r="AA164" s="234">
        <v>377656.02479999996</v>
      </c>
    </row>
    <row r="166" spans="1:28" x14ac:dyDescent="0.2">
      <c r="A166" s="622" t="s">
        <v>17</v>
      </c>
      <c r="B166" s="623"/>
      <c r="C166" s="624"/>
      <c r="D166" s="116"/>
      <c r="E166" s="114"/>
      <c r="F166" s="221">
        <v>1634173</v>
      </c>
      <c r="G166" s="221">
        <v>236212.06</v>
      </c>
      <c r="H166" s="221">
        <v>1397960.9399999997</v>
      </c>
      <c r="I166" s="302"/>
      <c r="J166" s="221">
        <v>52696.463388557982</v>
      </c>
      <c r="K166" s="221">
        <v>15837.071549456672</v>
      </c>
      <c r="L166" s="302"/>
      <c r="M166" s="221">
        <v>4875.1100000000006</v>
      </c>
      <c r="N166" s="221">
        <v>14505.73</v>
      </c>
      <c r="O166" s="303"/>
      <c r="P166" s="304"/>
      <c r="Q166" s="304"/>
      <c r="R166" s="221">
        <v>214055.74999999997</v>
      </c>
      <c r="S166" s="302"/>
      <c r="T166" s="221">
        <v>261.70000000000005</v>
      </c>
      <c r="U166" s="221">
        <v>4883.13</v>
      </c>
      <c r="V166" s="303"/>
      <c r="W166" s="303"/>
      <c r="X166" s="303"/>
      <c r="Y166" s="221">
        <v>152558.62999999995</v>
      </c>
      <c r="Z166" s="302"/>
      <c r="AA166" s="221">
        <v>1857634.5249380141</v>
      </c>
    </row>
    <row r="167" spans="1:28" x14ac:dyDescent="0.2">
      <c r="A167" s="224"/>
      <c r="B167" s="306" t="s">
        <v>85</v>
      </c>
      <c r="C167" s="224"/>
      <c r="D167" s="116"/>
      <c r="E167" s="114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V167"/>
      <c r="Z167"/>
      <c r="AA167"/>
      <c r="AB167"/>
    </row>
    <row r="168" spans="1:28" x14ac:dyDescent="0.2">
      <c r="A168" s="625" t="s">
        <v>18</v>
      </c>
      <c r="B168" s="625"/>
      <c r="C168" s="625"/>
      <c r="D168" s="121"/>
      <c r="E168" s="122"/>
      <c r="F168" s="226">
        <v>908411</v>
      </c>
      <c r="G168" s="226">
        <v>207644.21999999997</v>
      </c>
      <c r="H168" s="226">
        <v>700766.78</v>
      </c>
      <c r="I168" s="224"/>
      <c r="J168" s="226">
        <v>29173.361163017969</v>
      </c>
      <c r="K168" s="226">
        <v>9690.5876320757288</v>
      </c>
      <c r="L168" s="224"/>
      <c r="M168" s="226">
        <v>200.34</v>
      </c>
      <c r="N168" s="226">
        <v>0</v>
      </c>
      <c r="O168" s="303"/>
      <c r="P168" s="304"/>
      <c r="Q168" s="304"/>
      <c r="R168" s="226">
        <v>866</v>
      </c>
      <c r="S168" s="224"/>
      <c r="T168" s="226">
        <v>154.9</v>
      </c>
      <c r="U168" s="226">
        <v>0</v>
      </c>
      <c r="V168" s="303"/>
      <c r="W168" s="303"/>
      <c r="X168" s="303"/>
      <c r="Y168" s="226">
        <v>106489.43</v>
      </c>
      <c r="Z168" s="224"/>
      <c r="AA168" s="226">
        <v>847341.39879509364</v>
      </c>
    </row>
    <row r="169" spans="1:28" x14ac:dyDescent="0.2">
      <c r="A169" s="625" t="s">
        <v>19</v>
      </c>
      <c r="B169" s="625"/>
      <c r="C169" s="625"/>
      <c r="D169" s="121"/>
      <c r="E169" s="122"/>
      <c r="F169" s="226">
        <v>343939</v>
      </c>
      <c r="G169" s="226">
        <v>16533</v>
      </c>
      <c r="H169" s="226">
        <v>327406</v>
      </c>
      <c r="I169" s="224"/>
      <c r="J169" s="226">
        <v>8531.2000000000007</v>
      </c>
      <c r="K169" s="226">
        <v>893.14213390212626</v>
      </c>
      <c r="L169" s="224"/>
      <c r="M169" s="226">
        <v>125.30000000000001</v>
      </c>
      <c r="N169" s="226">
        <v>4605</v>
      </c>
      <c r="O169" s="303"/>
      <c r="P169" s="304"/>
      <c r="Q169" s="304"/>
      <c r="R169" s="226">
        <v>58539.82</v>
      </c>
      <c r="S169" s="224"/>
      <c r="T169" s="226">
        <v>12.75</v>
      </c>
      <c r="U169" s="226">
        <v>0</v>
      </c>
      <c r="V169" s="303"/>
      <c r="W169" s="303"/>
      <c r="X169" s="303"/>
      <c r="Y169" s="226">
        <v>29601.11</v>
      </c>
      <c r="Z169" s="224"/>
      <c r="AA169" s="226">
        <v>429714.32213390217</v>
      </c>
    </row>
    <row r="170" spans="1:28" x14ac:dyDescent="0.2">
      <c r="A170" s="625" t="s">
        <v>20</v>
      </c>
      <c r="B170" s="625"/>
      <c r="C170" s="625"/>
      <c r="D170" s="121"/>
      <c r="E170" s="122"/>
      <c r="F170" s="226">
        <v>152693</v>
      </c>
      <c r="G170" s="226">
        <v>12034.84</v>
      </c>
      <c r="H170" s="226">
        <v>140658.15999999997</v>
      </c>
      <c r="I170" s="224"/>
      <c r="J170" s="226">
        <v>5528.6535935571228</v>
      </c>
      <c r="K170" s="226">
        <v>2554.8004232045778</v>
      </c>
      <c r="L170" s="224"/>
      <c r="M170" s="226">
        <v>687.03</v>
      </c>
      <c r="N170" s="226">
        <v>1139.8800000000001</v>
      </c>
      <c r="O170" s="303"/>
      <c r="P170" s="304"/>
      <c r="Q170" s="304"/>
      <c r="R170" s="226">
        <v>55420.409999999996</v>
      </c>
      <c r="S170" s="224"/>
      <c r="T170" s="226">
        <v>8.0299999999999994</v>
      </c>
      <c r="U170" s="226">
        <v>0</v>
      </c>
      <c r="V170" s="303"/>
      <c r="W170" s="303"/>
      <c r="X170" s="303"/>
      <c r="Y170" s="226">
        <v>8999.0300000000007</v>
      </c>
      <c r="Z170" s="224"/>
      <c r="AA170" s="226">
        <v>214995.99401676172</v>
      </c>
    </row>
    <row r="171" spans="1:28" x14ac:dyDescent="0.2">
      <c r="A171" s="625" t="s">
        <v>21</v>
      </c>
      <c r="B171" s="625"/>
      <c r="C171" s="625"/>
      <c r="D171" s="121"/>
      <c r="E171" s="122"/>
      <c r="F171" s="226">
        <v>229130</v>
      </c>
      <c r="G171" s="226">
        <v>0</v>
      </c>
      <c r="H171" s="226">
        <v>229130</v>
      </c>
      <c r="I171" s="224"/>
      <c r="J171" s="226">
        <v>9463.2486319828713</v>
      </c>
      <c r="K171" s="226">
        <v>2698.5413602742387</v>
      </c>
      <c r="L171" s="224"/>
      <c r="M171" s="226">
        <v>3862.44</v>
      </c>
      <c r="N171" s="226">
        <v>8760.85</v>
      </c>
      <c r="O171" s="303"/>
      <c r="P171" s="304"/>
      <c r="Q171" s="304"/>
      <c r="R171" s="226">
        <v>99229.51999999999</v>
      </c>
      <c r="S171" s="224"/>
      <c r="T171" s="226">
        <v>86.02</v>
      </c>
      <c r="U171" s="226">
        <v>4883.13</v>
      </c>
      <c r="V171" s="303"/>
      <c r="W171" s="303"/>
      <c r="X171" s="303"/>
      <c r="Y171" s="226">
        <v>7469.06</v>
      </c>
      <c r="Z171" s="224"/>
      <c r="AA171" s="226">
        <v>365582.80999225716</v>
      </c>
    </row>
  </sheetData>
  <mergeCells count="35">
    <mergeCell ref="A171:C171"/>
    <mergeCell ref="A164:C164"/>
    <mergeCell ref="A166:C166"/>
    <mergeCell ref="A151:C151"/>
    <mergeCell ref="A152:C152"/>
    <mergeCell ref="A154:C154"/>
    <mergeCell ref="A163:C163"/>
    <mergeCell ref="A157:C157"/>
    <mergeCell ref="A168:C168"/>
    <mergeCell ref="A169:C169"/>
    <mergeCell ref="A170:C170"/>
    <mergeCell ref="A155:C155"/>
    <mergeCell ref="A156:C156"/>
    <mergeCell ref="A159:C159"/>
    <mergeCell ref="A161:C161"/>
    <mergeCell ref="A162:C162"/>
    <mergeCell ref="A1:AA1"/>
    <mergeCell ref="M3:R3"/>
    <mergeCell ref="T3:Y3"/>
    <mergeCell ref="AA3:AA4"/>
    <mergeCell ref="A140:C140"/>
    <mergeCell ref="A134:C134"/>
    <mergeCell ref="A135:C135"/>
    <mergeCell ref="A137:C137"/>
    <mergeCell ref="A138:C138"/>
    <mergeCell ref="A139:C139"/>
    <mergeCell ref="AC3:AE3"/>
    <mergeCell ref="F3:H3"/>
    <mergeCell ref="J3:K3"/>
    <mergeCell ref="A147:C147"/>
    <mergeCell ref="A148:C148"/>
    <mergeCell ref="A142:C142"/>
    <mergeCell ref="A143:C143"/>
    <mergeCell ref="A145:C145"/>
    <mergeCell ref="A146:C146"/>
  </mergeCells>
  <hyperlinks>
    <hyperlink ref="D62" location="'2009-10'!A160" display="Bottom" xr:uid="{00000000-0004-0000-0500-000000000000}"/>
  </hyperlinks>
  <printOptions horizontalCentered="1"/>
  <pageMargins left="0.25" right="0.25" top="0.75" bottom="0.75" header="0.3" footer="0.3"/>
  <pageSetup paperSize="9" scale="63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153"/>
  <sheetViews>
    <sheetView workbookViewId="0">
      <pane xSplit="4" ySplit="4" topLeftCell="E122" activePane="bottomRight" state="frozen"/>
      <selection pane="topRight" activeCell="E1" sqref="E1"/>
      <selection pane="bottomLeft" activeCell="A5" sqref="A5"/>
      <selection pane="bottomRight" activeCell="A134" sqref="A134:C134"/>
    </sheetView>
  </sheetViews>
  <sheetFormatPr defaultRowHeight="12.75" x14ac:dyDescent="0.2"/>
  <cols>
    <col min="1" max="1" width="8" bestFit="1" customWidth="1"/>
    <col min="2" max="2" width="26" bestFit="1" customWidth="1"/>
    <col min="3" max="3" width="15.42578125" bestFit="1" customWidth="1"/>
    <col min="4" max="4" width="3" customWidth="1"/>
    <col min="5" max="5" width="0.85546875" style="178" customWidth="1"/>
    <col min="6" max="6" width="8.28515625" bestFit="1" customWidth="1"/>
    <col min="7" max="8" width="8.7109375" bestFit="1" customWidth="1"/>
    <col min="9" max="9" width="8.7109375" style="278" customWidth="1"/>
    <col min="10" max="10" width="0.85546875" style="3" customWidth="1"/>
    <col min="11" max="11" width="8.28515625" style="4" bestFit="1" customWidth="1"/>
    <col min="12" max="13" width="8.7109375" bestFit="1" customWidth="1"/>
    <col min="14" max="14" width="0.85546875" style="178" customWidth="1"/>
    <col min="15" max="15" width="8.28515625" style="179" bestFit="1" customWidth="1"/>
    <col min="16" max="17" width="8.28515625" style="278" customWidth="1"/>
    <col min="18" max="18" width="8.7109375" style="278" bestFit="1" customWidth="1"/>
    <col min="19" max="19" width="9" bestFit="1" customWidth="1"/>
    <col min="20" max="20" width="8.140625" bestFit="1" customWidth="1"/>
    <col min="21" max="21" width="1.7109375" customWidth="1"/>
    <col min="22" max="22" width="9" style="335" bestFit="1" customWidth="1"/>
    <col min="25" max="25" width="10.7109375" bestFit="1" customWidth="1"/>
    <col min="27" max="27" width="1.7109375" customWidth="1"/>
    <col min="29" max="29" width="9.5703125" bestFit="1" customWidth="1"/>
    <col min="33" max="34" width="4.42578125" bestFit="1" customWidth="1"/>
    <col min="35" max="35" width="9" bestFit="1" customWidth="1"/>
  </cols>
  <sheetData>
    <row r="1" spans="1:35" s="20" customFormat="1" ht="15.75" x14ac:dyDescent="0.25">
      <c r="B1" s="285" t="s">
        <v>300</v>
      </c>
      <c r="C1" s="285"/>
      <c r="D1" s="285"/>
      <c r="E1" s="285"/>
      <c r="F1" s="285"/>
      <c r="G1" s="285"/>
      <c r="H1" s="286"/>
      <c r="I1" s="319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V1" s="328"/>
    </row>
    <row r="2" spans="1:35" s="254" customFormat="1" ht="12.75" customHeight="1" x14ac:dyDescent="0.2">
      <c r="A2" s="252"/>
      <c r="B2" s="253"/>
      <c r="C2" s="253"/>
      <c r="D2" s="253"/>
      <c r="F2" s="256"/>
      <c r="G2" s="254" t="s">
        <v>96</v>
      </c>
      <c r="I2" s="309"/>
      <c r="J2" s="113"/>
      <c r="K2" s="256"/>
      <c r="L2" s="254" t="s">
        <v>94</v>
      </c>
      <c r="M2" s="255"/>
      <c r="O2" s="667" t="s">
        <v>95</v>
      </c>
      <c r="P2" s="668"/>
      <c r="Q2" s="668"/>
      <c r="R2" s="668"/>
      <c r="S2" s="668"/>
      <c r="T2" s="669"/>
      <c r="V2" s="329"/>
      <c r="W2" s="670" t="s">
        <v>97</v>
      </c>
      <c r="X2" s="671"/>
      <c r="Y2" s="671"/>
      <c r="Z2" s="672"/>
      <c r="AB2" s="673" t="s">
        <v>105</v>
      </c>
      <c r="AC2" s="674"/>
      <c r="AD2" s="674"/>
      <c r="AE2" s="674"/>
      <c r="AF2" s="675"/>
    </row>
    <row r="3" spans="1:35" s="4" customFormat="1" ht="33.75" x14ac:dyDescent="0.25">
      <c r="A3" s="107"/>
      <c r="B3" s="108"/>
      <c r="C3" s="18"/>
      <c r="D3" s="109"/>
      <c r="E3" s="129"/>
      <c r="F3" s="289" t="s">
        <v>39</v>
      </c>
      <c r="G3" s="289"/>
      <c r="H3" s="290"/>
      <c r="I3" s="320"/>
      <c r="J3" s="293"/>
      <c r="K3" s="657" t="s">
        <v>62</v>
      </c>
      <c r="L3" s="657"/>
      <c r="M3" s="658"/>
      <c r="N3" s="129"/>
      <c r="O3" s="659" t="s">
        <v>33</v>
      </c>
      <c r="P3" s="659"/>
      <c r="Q3" s="659"/>
      <c r="R3" s="659"/>
      <c r="S3" s="659"/>
      <c r="T3" s="659"/>
      <c r="V3" s="330"/>
      <c r="W3" s="261" t="s">
        <v>9</v>
      </c>
      <c r="X3" s="262" t="s">
        <v>98</v>
      </c>
      <c r="Y3" s="263" t="s">
        <v>14</v>
      </c>
      <c r="Z3" s="263" t="s">
        <v>103</v>
      </c>
      <c r="AC3" s="261" t="s">
        <v>9</v>
      </c>
      <c r="AD3" s="262" t="s">
        <v>98</v>
      </c>
      <c r="AE3" s="263" t="s">
        <v>14</v>
      </c>
      <c r="AF3" s="263" t="s">
        <v>103</v>
      </c>
    </row>
    <row r="4" spans="1:35" ht="74.25" x14ac:dyDescent="0.2">
      <c r="A4" s="364" t="s">
        <v>285</v>
      </c>
      <c r="B4" s="445" t="s">
        <v>286</v>
      </c>
      <c r="C4" s="444" t="s">
        <v>108</v>
      </c>
      <c r="D4" s="446" t="s">
        <v>11</v>
      </c>
      <c r="E4" s="133"/>
      <c r="F4" s="137" t="s">
        <v>93</v>
      </c>
      <c r="G4" s="138" t="s">
        <v>63</v>
      </c>
      <c r="H4" s="139" t="s">
        <v>64</v>
      </c>
      <c r="I4" s="318"/>
      <c r="J4" s="14"/>
      <c r="K4" s="294" t="s">
        <v>93</v>
      </c>
      <c r="L4" s="131" t="s">
        <v>63</v>
      </c>
      <c r="M4" s="132" t="s">
        <v>64</v>
      </c>
      <c r="N4" s="133"/>
      <c r="O4" s="134" t="s">
        <v>107</v>
      </c>
      <c r="P4" s="135" t="s">
        <v>63</v>
      </c>
      <c r="Q4" s="136" t="s">
        <v>64</v>
      </c>
      <c r="R4" s="134" t="s">
        <v>106</v>
      </c>
      <c r="S4" s="135" t="s">
        <v>63</v>
      </c>
      <c r="T4" s="136" t="s">
        <v>64</v>
      </c>
      <c r="V4" s="331" t="s">
        <v>116</v>
      </c>
      <c r="W4" s="665" t="s">
        <v>104</v>
      </c>
      <c r="X4" s="666"/>
      <c r="Y4" s="666"/>
      <c r="Z4" s="666"/>
      <c r="AB4" s="199" t="s">
        <v>113</v>
      </c>
      <c r="AC4" s="663" t="s">
        <v>99</v>
      </c>
      <c r="AD4" s="664"/>
      <c r="AE4" s="664"/>
      <c r="AF4" s="664"/>
      <c r="AG4" s="279" t="s">
        <v>102</v>
      </c>
      <c r="AH4" s="279" t="s">
        <v>702</v>
      </c>
      <c r="AI4" s="134" t="s">
        <v>701</v>
      </c>
    </row>
    <row r="5" spans="1:35" x14ac:dyDescent="0.2">
      <c r="A5" s="377">
        <v>10050</v>
      </c>
      <c r="B5" s="377" t="s">
        <v>124</v>
      </c>
      <c r="C5" s="377" t="s">
        <v>703</v>
      </c>
      <c r="D5" s="404" t="s">
        <v>2</v>
      </c>
      <c r="E5" s="141"/>
      <c r="F5" s="144">
        <v>6816.5</v>
      </c>
      <c r="G5" s="145">
        <f t="shared" ref="G5:G36" si="0">(F5*1000)/W5/52</f>
        <v>5.7083495236691544</v>
      </c>
      <c r="H5" s="146">
        <f t="shared" ref="H5:H36" si="1">(F5*1000)/AC5/52</f>
        <v>2.3610616277899661</v>
      </c>
      <c r="I5" s="321"/>
      <c r="J5" s="11"/>
      <c r="K5" s="156">
        <v>5515</v>
      </c>
      <c r="L5" s="140">
        <f>(K5*1000)/X5/52</f>
        <v>4.6184328648185122</v>
      </c>
      <c r="M5" s="140">
        <f>(K5*1000)/AD5/52</f>
        <v>1.9102552449588006</v>
      </c>
      <c r="N5" s="141"/>
      <c r="O5" s="142"/>
      <c r="P5" s="315"/>
      <c r="Q5" s="149"/>
      <c r="R5" s="314">
        <v>10033.58</v>
      </c>
      <c r="S5" s="143">
        <f>(R5*1000)/Z5/52</f>
        <v>8.4024325700427429</v>
      </c>
      <c r="T5" s="149">
        <f>(R5*1000)/AF5/52</f>
        <v>3.4753760327676742</v>
      </c>
      <c r="V5" s="332">
        <f>'App 1-Services'!H5</f>
        <v>21678</v>
      </c>
      <c r="W5" s="264">
        <v>22964</v>
      </c>
      <c r="X5" s="265">
        <v>22964</v>
      </c>
      <c r="Y5" s="266">
        <v>0</v>
      </c>
      <c r="Z5" s="266">
        <v>22964</v>
      </c>
      <c r="AB5" s="284">
        <f>'App 1-Services'!G5</f>
        <v>52411</v>
      </c>
      <c r="AC5" s="9">
        <f t="shared" ref="AC5:AC36" si="2">(W5/$V5)*$AB5</f>
        <v>55520.168096687892</v>
      </c>
      <c r="AD5" s="9">
        <f t="shared" ref="AD5:AD36" si="3">(X5/$V5)*$AB5</f>
        <v>55520.168096687892</v>
      </c>
      <c r="AE5" s="9">
        <f t="shared" ref="AE5:AE36" si="4">(Y5/$V5)*$AB5</f>
        <v>0</v>
      </c>
      <c r="AF5" s="9">
        <f t="shared" ref="AF5:AF36" si="5">(Z5/$V5)*$AB5</f>
        <v>55520.168096687892</v>
      </c>
      <c r="AG5" s="280">
        <v>1</v>
      </c>
      <c r="AH5" s="142"/>
      <c r="AI5" s="266">
        <f>Y5+Z5</f>
        <v>22964</v>
      </c>
    </row>
    <row r="6" spans="1:35" x14ac:dyDescent="0.2">
      <c r="A6" s="376">
        <v>10130</v>
      </c>
      <c r="B6" s="376" t="s">
        <v>126</v>
      </c>
      <c r="C6" s="376" t="s">
        <v>125</v>
      </c>
      <c r="D6" s="404" t="s">
        <v>2</v>
      </c>
      <c r="E6" s="141"/>
      <c r="F6" s="144">
        <v>5297.49</v>
      </c>
      <c r="G6" s="145">
        <f t="shared" si="0"/>
        <v>10.415582015367313</v>
      </c>
      <c r="H6" s="146">
        <f t="shared" si="1"/>
        <v>4.1939660915930697</v>
      </c>
      <c r="I6" s="321"/>
      <c r="J6" s="11"/>
      <c r="K6" s="156">
        <v>1760.92</v>
      </c>
      <c r="L6" s="140">
        <f>(K6*1000)/X6/52</f>
        <v>3.6585832059038625</v>
      </c>
      <c r="M6" s="140">
        <f>(K6*1000)/AD6/52</f>
        <v>1.4731748918297534</v>
      </c>
      <c r="N6" s="141"/>
      <c r="O6" s="147"/>
      <c r="P6" s="315"/>
      <c r="Q6" s="149"/>
      <c r="R6" s="314">
        <v>2302.7600000000002</v>
      </c>
      <c r="S6" s="143">
        <f>(R6*1000)/Z6/52</f>
        <v>5.1691194296540397</v>
      </c>
      <c r="T6" s="149">
        <f>(R6*1000)/AF6/52</f>
        <v>2.0814114448312386</v>
      </c>
      <c r="V6" s="332">
        <f>'App 1-Services'!H6</f>
        <v>12098</v>
      </c>
      <c r="W6" s="267">
        <v>9781</v>
      </c>
      <c r="X6" s="268">
        <v>9256</v>
      </c>
      <c r="Y6" s="269">
        <v>0</v>
      </c>
      <c r="Z6" s="269">
        <v>8567</v>
      </c>
      <c r="AB6" s="284">
        <f>'App 1-Services'!G6</f>
        <v>30045</v>
      </c>
      <c r="AC6" s="9">
        <f t="shared" si="2"/>
        <v>24290.803851876342</v>
      </c>
      <c r="AD6" s="9">
        <f t="shared" si="3"/>
        <v>22986.982972392128</v>
      </c>
      <c r="AE6" s="9">
        <f t="shared" si="4"/>
        <v>0</v>
      </c>
      <c r="AF6" s="9">
        <f t="shared" si="5"/>
        <v>21275.873284840469</v>
      </c>
      <c r="AG6" s="280">
        <v>1</v>
      </c>
      <c r="AH6" s="147"/>
      <c r="AI6" s="266">
        <f t="shared" ref="AI6:AI36" si="6">Y6+Z6</f>
        <v>8567</v>
      </c>
    </row>
    <row r="7" spans="1:35" x14ac:dyDescent="0.2">
      <c r="A7" s="376">
        <v>10250</v>
      </c>
      <c r="B7" s="376" t="s">
        <v>132</v>
      </c>
      <c r="C7" s="376" t="s">
        <v>131</v>
      </c>
      <c r="D7" s="404" t="s">
        <v>5</v>
      </c>
      <c r="E7" s="141"/>
      <c r="F7" s="144">
        <v>7882.58</v>
      </c>
      <c r="G7" s="145">
        <f t="shared" si="0"/>
        <v>8.5430611430949579</v>
      </c>
      <c r="H7" s="146">
        <f t="shared" si="1"/>
        <v>3.5620847101014408</v>
      </c>
      <c r="I7" s="321"/>
      <c r="J7" s="11"/>
      <c r="K7" s="156">
        <v>5035.5600000000004</v>
      </c>
      <c r="L7" s="140">
        <f>(K7*1000)/X7/52</f>
        <v>5.4574894222098909</v>
      </c>
      <c r="M7" s="140">
        <f>(K7*1000)/AD7/52</f>
        <v>2.2755355838822329</v>
      </c>
      <c r="N7" s="141"/>
      <c r="O7" s="147"/>
      <c r="P7" s="548"/>
      <c r="Q7" s="149"/>
      <c r="R7" s="314">
        <v>6160.27</v>
      </c>
      <c r="S7" s="143">
        <f>(R7*1000)/Z7/52</f>
        <v>8.1074959464296992</v>
      </c>
      <c r="T7" s="149">
        <f>(R7*1000)/AF7/52</f>
        <v>3.3804729785094598</v>
      </c>
      <c r="V7" s="332">
        <f>'App 1-Services'!H7</f>
        <v>17744</v>
      </c>
      <c r="W7" s="267">
        <v>17744</v>
      </c>
      <c r="X7" s="268">
        <v>17744</v>
      </c>
      <c r="Y7" s="269">
        <v>0</v>
      </c>
      <c r="Z7" s="269">
        <v>14612</v>
      </c>
      <c r="AB7" s="284">
        <f>'App 1-Services'!G7</f>
        <v>42556</v>
      </c>
      <c r="AC7" s="9">
        <f t="shared" si="2"/>
        <v>42556</v>
      </c>
      <c r="AD7" s="9">
        <f t="shared" si="3"/>
        <v>42556</v>
      </c>
      <c r="AE7" s="9">
        <f t="shared" si="4"/>
        <v>0</v>
      </c>
      <c r="AF7" s="9">
        <f t="shared" si="5"/>
        <v>35044.424706943195</v>
      </c>
      <c r="AG7" s="280">
        <v>1</v>
      </c>
      <c r="AH7" s="147"/>
      <c r="AI7" s="266">
        <f t="shared" si="6"/>
        <v>14612</v>
      </c>
    </row>
    <row r="8" spans="1:35" x14ac:dyDescent="0.2">
      <c r="A8" s="376">
        <v>10300</v>
      </c>
      <c r="B8" s="376" t="s">
        <v>133</v>
      </c>
      <c r="C8" s="376" t="s">
        <v>703</v>
      </c>
      <c r="D8" s="404" t="s">
        <v>2</v>
      </c>
      <c r="E8" s="141"/>
      <c r="F8" s="144">
        <v>546</v>
      </c>
      <c r="G8" s="145">
        <f t="shared" si="0"/>
        <v>14.83050847457627</v>
      </c>
      <c r="H8" s="146">
        <f t="shared" si="1"/>
        <v>10.409338023664853</v>
      </c>
      <c r="I8" s="321"/>
      <c r="J8" s="11"/>
      <c r="K8" s="156">
        <v>0</v>
      </c>
      <c r="L8" s="140"/>
      <c r="M8" s="140"/>
      <c r="N8" s="148"/>
      <c r="O8" s="147"/>
      <c r="P8" s="315"/>
      <c r="Q8" s="149"/>
      <c r="R8" s="314"/>
      <c r="S8" s="143"/>
      <c r="T8" s="149"/>
      <c r="V8" s="332">
        <f>'App 1-Services'!H8</f>
        <v>1674</v>
      </c>
      <c r="W8" s="267">
        <v>708</v>
      </c>
      <c r="X8" s="268">
        <v>0</v>
      </c>
      <c r="Y8" s="269">
        <v>0</v>
      </c>
      <c r="Z8" s="269">
        <v>0</v>
      </c>
      <c r="AB8" s="284">
        <f>'App 1-Services'!G8</f>
        <v>2385</v>
      </c>
      <c r="AC8" s="9">
        <f t="shared" si="2"/>
        <v>1008.7096774193549</v>
      </c>
      <c r="AD8" s="9">
        <f t="shared" si="3"/>
        <v>0</v>
      </c>
      <c r="AE8" s="9">
        <f t="shared" si="4"/>
        <v>0</v>
      </c>
      <c r="AF8" s="9">
        <f t="shared" si="5"/>
        <v>0</v>
      </c>
      <c r="AG8" s="280"/>
      <c r="AH8" s="147"/>
      <c r="AI8" s="266">
        <f t="shared" si="6"/>
        <v>0</v>
      </c>
    </row>
    <row r="9" spans="1:35" x14ac:dyDescent="0.2">
      <c r="A9" s="376">
        <v>10470</v>
      </c>
      <c r="B9" s="376" t="s">
        <v>135</v>
      </c>
      <c r="C9" s="376" t="s">
        <v>293</v>
      </c>
      <c r="D9" s="404" t="s">
        <v>2</v>
      </c>
      <c r="E9" s="141"/>
      <c r="F9" s="144">
        <v>10683.08</v>
      </c>
      <c r="G9" s="145">
        <f t="shared" si="0"/>
        <v>13.966270982586414</v>
      </c>
      <c r="H9" s="146">
        <f t="shared" si="1"/>
        <v>5.9411764630194659</v>
      </c>
      <c r="I9" s="321"/>
      <c r="J9" s="11"/>
      <c r="K9" s="156">
        <v>2705.89</v>
      </c>
      <c r="L9" s="140">
        <f t="shared" ref="L9:L14" si="7">(K9*1000)/X9/52</f>
        <v>3.5439859806474256</v>
      </c>
      <c r="M9" s="140">
        <f t="shared" ref="M9:M14" si="8">(K9*1000)/AD9/52</f>
        <v>1.5075925506347427</v>
      </c>
      <c r="N9" s="148"/>
      <c r="O9" s="147"/>
      <c r="P9" s="315"/>
      <c r="Q9" s="149"/>
      <c r="R9" s="314">
        <v>4019.01</v>
      </c>
      <c r="S9" s="143">
        <f>(R9*1000)/Z9/52</f>
        <v>5.8694299700906631</v>
      </c>
      <c r="T9" s="149">
        <f>(R9*1000)/AF9/52</f>
        <v>2.4968239004615018</v>
      </c>
      <c r="V9" s="332">
        <f>'App 1-Services'!H9</f>
        <v>18326</v>
      </c>
      <c r="W9" s="267">
        <v>14710</v>
      </c>
      <c r="X9" s="268">
        <v>14683</v>
      </c>
      <c r="Y9" s="269">
        <v>0</v>
      </c>
      <c r="Z9" s="269">
        <v>13168</v>
      </c>
      <c r="AB9" s="284">
        <f>'App 1-Services'!G9</f>
        <v>43080</v>
      </c>
      <c r="AC9" s="9">
        <f t="shared" si="2"/>
        <v>34579.657317472447</v>
      </c>
      <c r="AD9" s="9">
        <f t="shared" si="3"/>
        <v>34516.186838371716</v>
      </c>
      <c r="AE9" s="9">
        <f t="shared" si="4"/>
        <v>0</v>
      </c>
      <c r="AF9" s="9">
        <f t="shared" si="5"/>
        <v>30954.787733275127</v>
      </c>
      <c r="AG9" s="280">
        <v>1</v>
      </c>
      <c r="AH9" s="147"/>
      <c r="AI9" s="266">
        <f t="shared" si="6"/>
        <v>13168</v>
      </c>
    </row>
    <row r="10" spans="1:35" x14ac:dyDescent="0.2">
      <c r="A10" s="376">
        <v>10500</v>
      </c>
      <c r="B10" s="376" t="s">
        <v>149</v>
      </c>
      <c r="C10" s="376" t="s">
        <v>127</v>
      </c>
      <c r="D10" s="404" t="s">
        <v>4</v>
      </c>
      <c r="E10" s="141"/>
      <c r="F10" s="144">
        <v>42265</v>
      </c>
      <c r="G10" s="145">
        <f t="shared" si="0"/>
        <v>19.308432391933994</v>
      </c>
      <c r="H10" s="146">
        <f t="shared" si="1"/>
        <v>7.049430158005527</v>
      </c>
      <c r="I10" s="321"/>
      <c r="J10" s="11"/>
      <c r="K10" s="295">
        <v>11781</v>
      </c>
      <c r="L10" s="140">
        <f t="shared" si="7"/>
        <v>5.2581449696588827</v>
      </c>
      <c r="M10" s="140">
        <f t="shared" si="8"/>
        <v>1.9197273487496023</v>
      </c>
      <c r="N10" s="148"/>
      <c r="O10" s="147">
        <v>1793</v>
      </c>
      <c r="P10" s="315">
        <f>(O10*1000)/Y10/52</f>
        <v>4.2219626828418306</v>
      </c>
      <c r="Q10" s="149">
        <f>(O10*1000)/AE10/52</f>
        <v>1.5414214089607938</v>
      </c>
      <c r="R10" s="314"/>
      <c r="S10" s="143"/>
      <c r="T10" s="149"/>
      <c r="V10" s="332">
        <f>'App 1-Services'!H10</f>
        <v>58760</v>
      </c>
      <c r="W10" s="267">
        <v>42095</v>
      </c>
      <c r="X10" s="268">
        <v>43087</v>
      </c>
      <c r="Y10" s="269">
        <v>8167</v>
      </c>
      <c r="Z10" s="269">
        <v>0</v>
      </c>
      <c r="AB10" s="284">
        <f>'App 1-Services'!G10</f>
        <v>160944</v>
      </c>
      <c r="AC10" s="9">
        <f t="shared" si="2"/>
        <v>115298.46289993192</v>
      </c>
      <c r="AD10" s="9">
        <f t="shared" si="3"/>
        <v>118015.55697753573</v>
      </c>
      <c r="AE10" s="9">
        <f t="shared" si="4"/>
        <v>22369.463036078963</v>
      </c>
      <c r="AF10" s="9">
        <f t="shared" si="5"/>
        <v>0</v>
      </c>
      <c r="AG10" s="280"/>
      <c r="AH10" s="147">
        <v>1</v>
      </c>
      <c r="AI10" s="266">
        <f t="shared" si="6"/>
        <v>8167</v>
      </c>
    </row>
    <row r="11" spans="1:35" x14ac:dyDescent="0.2">
      <c r="A11" s="376">
        <v>10550</v>
      </c>
      <c r="B11" s="376" t="s">
        <v>138</v>
      </c>
      <c r="C11" s="376" t="s">
        <v>704</v>
      </c>
      <c r="D11" s="404" t="s">
        <v>2</v>
      </c>
      <c r="E11" s="141"/>
      <c r="F11" s="144">
        <v>8730</v>
      </c>
      <c r="G11" s="145">
        <f t="shared" si="0"/>
        <v>10.427615862398472</v>
      </c>
      <c r="H11" s="146">
        <f t="shared" si="1"/>
        <v>5.4077265198113631</v>
      </c>
      <c r="I11" s="321"/>
      <c r="J11" s="11"/>
      <c r="K11" s="156">
        <v>4002</v>
      </c>
      <c r="L11" s="140">
        <f t="shared" si="7"/>
        <v>4.7802197802197801</v>
      </c>
      <c r="M11" s="140">
        <f t="shared" si="8"/>
        <v>2.4790059028963429</v>
      </c>
      <c r="N11" s="148"/>
      <c r="O11" s="147">
        <v>1984</v>
      </c>
      <c r="P11" s="315">
        <f>(O11*1000)/Y11/52</f>
        <v>3.1794871794871797</v>
      </c>
      <c r="Q11" s="149">
        <f>(O11*1000)/AE11/52</f>
        <v>1.6488713591678359</v>
      </c>
      <c r="R11" s="314"/>
      <c r="S11" s="143"/>
      <c r="T11" s="149"/>
      <c r="V11" s="332">
        <f>'App 1-Services'!H11</f>
        <v>17457</v>
      </c>
      <c r="W11" s="267">
        <v>16100</v>
      </c>
      <c r="X11" s="268">
        <v>16100</v>
      </c>
      <c r="Y11" s="269">
        <v>12000</v>
      </c>
      <c r="Z11" s="269">
        <v>0</v>
      </c>
      <c r="AB11" s="284">
        <f>'App 1-Services'!G11</f>
        <v>33662</v>
      </c>
      <c r="AC11" s="9">
        <f t="shared" si="2"/>
        <v>31045.32279314888</v>
      </c>
      <c r="AD11" s="9">
        <f t="shared" si="3"/>
        <v>31045.32279314888</v>
      </c>
      <c r="AE11" s="9">
        <f t="shared" si="4"/>
        <v>23139.371025949476</v>
      </c>
      <c r="AF11" s="9">
        <f t="shared" si="5"/>
        <v>0</v>
      </c>
      <c r="AG11" s="280"/>
      <c r="AH11" s="147">
        <v>1</v>
      </c>
      <c r="AI11" s="266">
        <f t="shared" si="6"/>
        <v>12000</v>
      </c>
    </row>
    <row r="12" spans="1:35" x14ac:dyDescent="0.2">
      <c r="A12" s="376">
        <v>10600</v>
      </c>
      <c r="B12" s="376" t="s">
        <v>139</v>
      </c>
      <c r="C12" s="376" t="s">
        <v>294</v>
      </c>
      <c r="D12" s="404" t="s">
        <v>5</v>
      </c>
      <c r="E12" s="141"/>
      <c r="F12" s="144">
        <v>1427.33</v>
      </c>
      <c r="G12" s="145">
        <f t="shared" si="0"/>
        <v>6.7858229533136827</v>
      </c>
      <c r="H12" s="146">
        <f t="shared" si="1"/>
        <v>3.0698759740576445</v>
      </c>
      <c r="I12" s="321"/>
      <c r="J12" s="11"/>
      <c r="K12" s="156">
        <v>1168.22</v>
      </c>
      <c r="L12" s="140">
        <f t="shared" si="7"/>
        <v>5.5539602548255207</v>
      </c>
      <c r="M12" s="140">
        <f t="shared" si="8"/>
        <v>2.5125867952145762</v>
      </c>
      <c r="N12" s="148"/>
      <c r="O12" s="147"/>
      <c r="P12" s="315"/>
      <c r="Q12" s="149"/>
      <c r="R12" s="314">
        <v>1409.88</v>
      </c>
      <c r="S12" s="143">
        <f>(R12*1000)/Z12/52</f>
        <v>6.702862032899116</v>
      </c>
      <c r="T12" s="149">
        <f>(R12*1000)/AF12/52</f>
        <v>3.0323448244655347</v>
      </c>
      <c r="V12" s="332">
        <f>'App 1-Services'!H12</f>
        <v>5911</v>
      </c>
      <c r="W12" s="267">
        <v>4045</v>
      </c>
      <c r="X12" s="268">
        <v>4045</v>
      </c>
      <c r="Y12" s="269">
        <v>0</v>
      </c>
      <c r="Z12" s="269">
        <v>4045</v>
      </c>
      <c r="AB12" s="284">
        <f>'App 1-Services'!G12</f>
        <v>13066</v>
      </c>
      <c r="AC12" s="9">
        <f t="shared" si="2"/>
        <v>8941.2908137370996</v>
      </c>
      <c r="AD12" s="9">
        <f t="shared" si="3"/>
        <v>8941.2908137370996</v>
      </c>
      <c r="AE12" s="9">
        <f t="shared" si="4"/>
        <v>0</v>
      </c>
      <c r="AF12" s="9">
        <f t="shared" si="5"/>
        <v>8941.2908137370996</v>
      </c>
      <c r="AG12" s="280">
        <v>1</v>
      </c>
      <c r="AH12" s="147"/>
      <c r="AI12" s="266">
        <f t="shared" si="6"/>
        <v>4045</v>
      </c>
    </row>
    <row r="13" spans="1:35" x14ac:dyDescent="0.2">
      <c r="A13" s="376">
        <v>10650</v>
      </c>
      <c r="B13" s="376" t="s">
        <v>140</v>
      </c>
      <c r="C13" s="376" t="s">
        <v>703</v>
      </c>
      <c r="D13" s="404" t="s">
        <v>2</v>
      </c>
      <c r="E13" s="148"/>
      <c r="F13" s="144">
        <v>1249</v>
      </c>
      <c r="G13" s="145">
        <f t="shared" si="0"/>
        <v>7.0561782518304259</v>
      </c>
      <c r="H13" s="146">
        <f t="shared" si="1"/>
        <v>2.9741539923689051</v>
      </c>
      <c r="I13" s="321"/>
      <c r="J13" s="11"/>
      <c r="K13" s="156">
        <v>704</v>
      </c>
      <c r="L13" s="140">
        <f t="shared" si="7"/>
        <v>3.9772213685257163</v>
      </c>
      <c r="M13" s="140">
        <f t="shared" si="8"/>
        <v>1.6763846362111361</v>
      </c>
      <c r="N13" s="148"/>
      <c r="O13" s="147"/>
      <c r="P13" s="315"/>
      <c r="Q13" s="149"/>
      <c r="R13" s="314"/>
      <c r="S13" s="143"/>
      <c r="T13" s="149"/>
      <c r="V13" s="332">
        <f>'App 1-Services'!H13</f>
        <v>3549</v>
      </c>
      <c r="W13" s="267">
        <v>3404</v>
      </c>
      <c r="X13" s="268">
        <v>3404</v>
      </c>
      <c r="Y13" s="269">
        <v>0</v>
      </c>
      <c r="Z13" s="269">
        <v>0</v>
      </c>
      <c r="AB13" s="284">
        <f>'App 1-Services'!G13</f>
        <v>8420</v>
      </c>
      <c r="AC13" s="9">
        <f t="shared" si="2"/>
        <v>8075.9876021414484</v>
      </c>
      <c r="AD13" s="9">
        <f t="shared" si="3"/>
        <v>8075.9876021414484</v>
      </c>
      <c r="AE13" s="9">
        <f t="shared" si="4"/>
        <v>0</v>
      </c>
      <c r="AF13" s="9">
        <f t="shared" si="5"/>
        <v>0</v>
      </c>
      <c r="AG13" s="280"/>
      <c r="AH13" s="147"/>
      <c r="AI13" s="266">
        <f t="shared" si="6"/>
        <v>0</v>
      </c>
    </row>
    <row r="14" spans="1:35" x14ac:dyDescent="0.2">
      <c r="A14" s="376">
        <v>10750</v>
      </c>
      <c r="B14" s="376" t="s">
        <v>141</v>
      </c>
      <c r="C14" s="376" t="s">
        <v>129</v>
      </c>
      <c r="D14" s="404" t="s">
        <v>4</v>
      </c>
      <c r="E14" s="141"/>
      <c r="F14" s="144">
        <v>102571</v>
      </c>
      <c r="G14" s="145">
        <f t="shared" si="0"/>
        <v>18.588855566888419</v>
      </c>
      <c r="H14" s="146">
        <f t="shared" si="1"/>
        <v>6.5625754221141843</v>
      </c>
      <c r="I14" s="321"/>
      <c r="J14" s="11"/>
      <c r="K14" s="156">
        <v>23500</v>
      </c>
      <c r="L14" s="140">
        <f t="shared" si="7"/>
        <v>4.3040293040293038</v>
      </c>
      <c r="M14" s="140">
        <f t="shared" si="8"/>
        <v>1.5194865991101965</v>
      </c>
      <c r="N14" s="148"/>
      <c r="O14" s="147"/>
      <c r="P14" s="315"/>
      <c r="Q14" s="149"/>
      <c r="R14" s="314"/>
      <c r="S14" s="143"/>
      <c r="T14" s="149"/>
      <c r="V14" s="332">
        <f>'App 1-Services'!H14</f>
        <v>122906</v>
      </c>
      <c r="W14" s="267">
        <v>106113</v>
      </c>
      <c r="X14" s="268">
        <v>105000</v>
      </c>
      <c r="Y14" s="269">
        <v>0</v>
      </c>
      <c r="Z14" s="269">
        <v>0</v>
      </c>
      <c r="AB14" s="284">
        <f>'App 1-Services'!G14</f>
        <v>348138</v>
      </c>
      <c r="AC14" s="9">
        <f t="shared" si="2"/>
        <v>300570.90454493678</v>
      </c>
      <c r="AD14" s="9">
        <f t="shared" si="3"/>
        <v>297418.27087367582</v>
      </c>
      <c r="AE14" s="9">
        <f t="shared" si="4"/>
        <v>0</v>
      </c>
      <c r="AF14" s="9">
        <f t="shared" si="5"/>
        <v>0</v>
      </c>
      <c r="AG14" s="280"/>
      <c r="AH14" s="147"/>
      <c r="AI14" s="266">
        <f t="shared" si="6"/>
        <v>0</v>
      </c>
    </row>
    <row r="15" spans="1:35" x14ac:dyDescent="0.2">
      <c r="A15" s="376">
        <v>10800</v>
      </c>
      <c r="B15" s="376" t="s">
        <v>143</v>
      </c>
      <c r="C15" s="376" t="s">
        <v>142</v>
      </c>
      <c r="D15" s="404" t="s">
        <v>2</v>
      </c>
      <c r="E15" s="141"/>
      <c r="F15" s="144">
        <v>1006.4</v>
      </c>
      <c r="G15" s="145">
        <f t="shared" si="0"/>
        <v>9.043853342918764</v>
      </c>
      <c r="H15" s="146">
        <f t="shared" si="1"/>
        <v>5.374038930826833</v>
      </c>
      <c r="I15" s="321"/>
      <c r="J15" s="11"/>
      <c r="K15" s="156">
        <v>0</v>
      </c>
      <c r="L15" s="140"/>
      <c r="M15" s="140"/>
      <c r="N15" s="148"/>
      <c r="O15" s="147"/>
      <c r="P15" s="315"/>
      <c r="Q15" s="149"/>
      <c r="R15" s="314"/>
      <c r="S15" s="143"/>
      <c r="T15" s="149"/>
      <c r="V15" s="332">
        <f>'App 1-Services'!H15</f>
        <v>3516</v>
      </c>
      <c r="W15" s="267">
        <v>2140</v>
      </c>
      <c r="X15" s="268">
        <v>0</v>
      </c>
      <c r="Y15" s="269">
        <v>0</v>
      </c>
      <c r="Z15" s="269">
        <v>0</v>
      </c>
      <c r="AB15" s="284">
        <f>'App 1-Services'!G15</f>
        <v>5917</v>
      </c>
      <c r="AC15" s="9">
        <f t="shared" si="2"/>
        <v>3601.3594994311716</v>
      </c>
      <c r="AD15" s="9">
        <f t="shared" si="3"/>
        <v>0</v>
      </c>
      <c r="AE15" s="9">
        <f t="shared" si="4"/>
        <v>0</v>
      </c>
      <c r="AF15" s="9">
        <f t="shared" si="5"/>
        <v>0</v>
      </c>
      <c r="AG15" s="280"/>
      <c r="AH15" s="147"/>
      <c r="AI15" s="266">
        <f t="shared" si="6"/>
        <v>0</v>
      </c>
    </row>
    <row r="16" spans="1:35" x14ac:dyDescent="0.2">
      <c r="A16" s="376">
        <v>10850</v>
      </c>
      <c r="B16" s="376" t="s">
        <v>144</v>
      </c>
      <c r="C16" s="376" t="s">
        <v>293</v>
      </c>
      <c r="D16" s="404" t="s">
        <v>2</v>
      </c>
      <c r="E16" s="141"/>
      <c r="F16" s="144">
        <v>1873.27</v>
      </c>
      <c r="G16" s="145">
        <f t="shared" si="0"/>
        <v>10.435812015331134</v>
      </c>
      <c r="H16" s="146">
        <f t="shared" si="1"/>
        <v>4.9681014690124083</v>
      </c>
      <c r="I16" s="321"/>
      <c r="J16" s="11"/>
      <c r="K16" s="156">
        <v>534.83000000000004</v>
      </c>
      <c r="L16" s="140">
        <f>(K16*1000)/X16/52</f>
        <v>4.0798065480731092</v>
      </c>
      <c r="M16" s="140">
        <f>(K16*1000)/AD16/52</f>
        <v>1.9422439648195704</v>
      </c>
      <c r="N16" s="148"/>
      <c r="O16" s="147"/>
      <c r="P16" s="315"/>
      <c r="Q16" s="149"/>
      <c r="R16" s="314"/>
      <c r="S16" s="143"/>
      <c r="T16" s="149"/>
      <c r="V16" s="332">
        <f>'App 1-Services'!H16</f>
        <v>3550</v>
      </c>
      <c r="W16" s="267">
        <v>3452</v>
      </c>
      <c r="X16" s="268">
        <v>2521</v>
      </c>
      <c r="Y16" s="269">
        <v>0</v>
      </c>
      <c r="Z16" s="269">
        <v>0</v>
      </c>
      <c r="AB16" s="284">
        <f>'App 1-Services'!G16</f>
        <v>7457</v>
      </c>
      <c r="AC16" s="9">
        <f t="shared" si="2"/>
        <v>7251.1447887323948</v>
      </c>
      <c r="AD16" s="9">
        <f t="shared" si="3"/>
        <v>5295.520281690141</v>
      </c>
      <c r="AE16" s="9">
        <f t="shared" si="4"/>
        <v>0</v>
      </c>
      <c r="AF16" s="9">
        <f t="shared" si="5"/>
        <v>0</v>
      </c>
      <c r="AG16" s="280"/>
      <c r="AH16" s="147"/>
      <c r="AI16" s="266">
        <f t="shared" si="6"/>
        <v>0</v>
      </c>
    </row>
    <row r="17" spans="1:35" x14ac:dyDescent="0.2">
      <c r="A17" s="376">
        <v>10900</v>
      </c>
      <c r="B17" s="376" t="s">
        <v>145</v>
      </c>
      <c r="C17" s="376" t="s">
        <v>129</v>
      </c>
      <c r="D17" s="404" t="s">
        <v>5</v>
      </c>
      <c r="E17" s="141"/>
      <c r="F17" s="144">
        <v>17262.82</v>
      </c>
      <c r="G17" s="145">
        <f t="shared" si="0"/>
        <v>9.8012254640343563</v>
      </c>
      <c r="H17" s="146">
        <f t="shared" si="1"/>
        <v>4.209268424133449</v>
      </c>
      <c r="I17" s="321"/>
      <c r="J17" s="11"/>
      <c r="K17" s="156">
        <v>8375.31</v>
      </c>
      <c r="L17" s="140">
        <f>(K17*1000)/X17/52</f>
        <v>4.7595642389525361</v>
      </c>
      <c r="M17" s="140">
        <f>(K17*1000)/AD17/52</f>
        <v>2.0440590349822636</v>
      </c>
      <c r="N17" s="148"/>
      <c r="O17" s="147">
        <v>9188.1200000000008</v>
      </c>
      <c r="P17" s="315">
        <f>(O17*1000)/Y17/52</f>
        <v>5.2324503356514969</v>
      </c>
      <c r="Q17" s="149">
        <f>(O17*1000)/AE17/52</f>
        <v>2.2471463450692335</v>
      </c>
      <c r="R17" s="314"/>
      <c r="S17" s="143"/>
      <c r="T17" s="149"/>
      <c r="V17" s="332">
        <f>'App 1-Services'!H17</f>
        <v>34388</v>
      </c>
      <c r="W17" s="267">
        <v>33871</v>
      </c>
      <c r="X17" s="268">
        <v>33840</v>
      </c>
      <c r="Y17" s="269">
        <v>33769</v>
      </c>
      <c r="Z17" s="269">
        <v>0</v>
      </c>
      <c r="AB17" s="284">
        <f>'App 1-Services'!G17</f>
        <v>80072</v>
      </c>
      <c r="AC17" s="9">
        <f t="shared" si="2"/>
        <v>78868.172385715938</v>
      </c>
      <c r="AD17" s="9">
        <f t="shared" si="3"/>
        <v>78795.98929859254</v>
      </c>
      <c r="AE17" s="9">
        <f t="shared" si="4"/>
        <v>78630.6667442131</v>
      </c>
      <c r="AF17" s="9">
        <f t="shared" si="5"/>
        <v>0</v>
      </c>
      <c r="AG17" s="280"/>
      <c r="AH17" s="147">
        <v>1</v>
      </c>
      <c r="AI17" s="266">
        <f t="shared" si="6"/>
        <v>33769</v>
      </c>
    </row>
    <row r="18" spans="1:35" x14ac:dyDescent="0.2">
      <c r="A18" s="376">
        <v>10950</v>
      </c>
      <c r="B18" s="376" t="s">
        <v>146</v>
      </c>
      <c r="C18" s="376" t="s">
        <v>293</v>
      </c>
      <c r="D18" s="404" t="s">
        <v>2</v>
      </c>
      <c r="E18" s="148"/>
      <c r="F18" s="144">
        <v>895</v>
      </c>
      <c r="G18" s="145">
        <f t="shared" si="0"/>
        <v>10.118482340704562</v>
      </c>
      <c r="H18" s="146">
        <f t="shared" si="1"/>
        <v>19.550509610739446</v>
      </c>
      <c r="I18" s="321"/>
      <c r="J18" s="11"/>
      <c r="K18" s="295">
        <v>179</v>
      </c>
      <c r="L18" s="140">
        <f>(K18*1000)/X18/52</f>
        <v>2.0236964681409124</v>
      </c>
      <c r="M18" s="140">
        <f>(K18*1000)/AD18/52</f>
        <v>3.9101019221478888</v>
      </c>
      <c r="N18" s="148"/>
      <c r="O18" s="147"/>
      <c r="P18" s="315"/>
      <c r="Q18" s="149"/>
      <c r="R18" s="314"/>
      <c r="S18" s="143"/>
      <c r="T18" s="149"/>
      <c r="V18" s="332">
        <f>'App 1-Services'!H18</f>
        <v>5810</v>
      </c>
      <c r="W18" s="267">
        <v>1701</v>
      </c>
      <c r="X18" s="268">
        <v>1701</v>
      </c>
      <c r="Y18" s="269">
        <v>0</v>
      </c>
      <c r="Z18" s="269">
        <v>0</v>
      </c>
      <c r="AB18" s="284">
        <f>'App 1-Services'!G18</f>
        <v>3007</v>
      </c>
      <c r="AC18" s="9">
        <f t="shared" si="2"/>
        <v>880.36265060240964</v>
      </c>
      <c r="AD18" s="9">
        <f t="shared" si="3"/>
        <v>880.36265060240964</v>
      </c>
      <c r="AE18" s="9">
        <f t="shared" si="4"/>
        <v>0</v>
      </c>
      <c r="AF18" s="9">
        <f t="shared" si="5"/>
        <v>0</v>
      </c>
      <c r="AG18" s="280"/>
      <c r="AH18" s="147"/>
      <c r="AI18" s="266">
        <f t="shared" si="6"/>
        <v>0</v>
      </c>
    </row>
    <row r="19" spans="1:35" x14ac:dyDescent="0.2">
      <c r="A19" s="376">
        <v>11150</v>
      </c>
      <c r="B19" s="376" t="s">
        <v>150</v>
      </c>
      <c r="C19" s="376" t="s">
        <v>293</v>
      </c>
      <c r="D19" s="404" t="s">
        <v>2</v>
      </c>
      <c r="E19" s="141"/>
      <c r="F19" s="144">
        <v>466.51</v>
      </c>
      <c r="G19" s="145">
        <f t="shared" si="0"/>
        <v>9.6673988726790459</v>
      </c>
      <c r="H19" s="146">
        <f t="shared" si="1"/>
        <v>3.2224662908930148</v>
      </c>
      <c r="I19" s="321"/>
      <c r="J19" s="11"/>
      <c r="K19" s="156">
        <v>0</v>
      </c>
      <c r="L19" s="140"/>
      <c r="M19" s="140"/>
      <c r="N19" s="148"/>
      <c r="O19" s="147"/>
      <c r="P19" s="315"/>
      <c r="Q19" s="149"/>
      <c r="R19" s="314"/>
      <c r="S19" s="143"/>
      <c r="T19" s="149"/>
      <c r="V19" s="332">
        <f>'App 1-Services'!H19</f>
        <v>938</v>
      </c>
      <c r="W19" s="267">
        <v>928</v>
      </c>
      <c r="X19" s="268">
        <v>0</v>
      </c>
      <c r="Y19" s="269">
        <v>0</v>
      </c>
      <c r="Z19" s="269">
        <v>0</v>
      </c>
      <c r="AB19" s="284">
        <f>'App 1-Services'!G19</f>
        <v>2814</v>
      </c>
      <c r="AC19" s="9">
        <f t="shared" si="2"/>
        <v>2784</v>
      </c>
      <c r="AD19" s="9">
        <f t="shared" si="3"/>
        <v>0</v>
      </c>
      <c r="AE19" s="9">
        <f t="shared" si="4"/>
        <v>0</v>
      </c>
      <c r="AF19" s="9">
        <f t="shared" si="5"/>
        <v>0</v>
      </c>
      <c r="AG19" s="280"/>
      <c r="AH19" s="147"/>
      <c r="AI19" s="266">
        <f t="shared" si="6"/>
        <v>0</v>
      </c>
    </row>
    <row r="20" spans="1:35" x14ac:dyDescent="0.2">
      <c r="A20" s="376">
        <v>11200</v>
      </c>
      <c r="B20" s="376" t="s">
        <v>151</v>
      </c>
      <c r="C20" s="376" t="s">
        <v>293</v>
      </c>
      <c r="D20" s="404" t="s">
        <v>2</v>
      </c>
      <c r="E20" s="141"/>
      <c r="F20" s="144">
        <v>500</v>
      </c>
      <c r="G20" s="145">
        <f t="shared" si="0"/>
        <v>11.812511812511813</v>
      </c>
      <c r="H20" s="146">
        <f t="shared" si="1"/>
        <v>5.663705663705664</v>
      </c>
      <c r="I20" s="321"/>
      <c r="J20" s="11"/>
      <c r="K20" s="156">
        <v>0</v>
      </c>
      <c r="L20" s="140"/>
      <c r="M20" s="140"/>
      <c r="N20" s="148"/>
      <c r="O20" s="147"/>
      <c r="P20" s="315"/>
      <c r="Q20" s="149"/>
      <c r="R20" s="314"/>
      <c r="S20" s="143"/>
      <c r="T20" s="149"/>
      <c r="V20" s="332">
        <f>'App 1-Services'!H20</f>
        <v>899</v>
      </c>
      <c r="W20" s="267">
        <v>814</v>
      </c>
      <c r="X20" s="268">
        <v>0</v>
      </c>
      <c r="Y20" s="269">
        <v>0</v>
      </c>
      <c r="Z20" s="269">
        <v>0</v>
      </c>
      <c r="AB20" s="284">
        <f>'App 1-Services'!G20</f>
        <v>1875</v>
      </c>
      <c r="AC20" s="9">
        <f t="shared" si="2"/>
        <v>1697.7196885428252</v>
      </c>
      <c r="AD20" s="9">
        <f t="shared" si="3"/>
        <v>0</v>
      </c>
      <c r="AE20" s="9">
        <f t="shared" si="4"/>
        <v>0</v>
      </c>
      <c r="AF20" s="9">
        <f t="shared" si="5"/>
        <v>0</v>
      </c>
      <c r="AG20" s="280"/>
      <c r="AH20" s="147"/>
      <c r="AI20" s="266">
        <f t="shared" si="6"/>
        <v>0</v>
      </c>
    </row>
    <row r="21" spans="1:35" x14ac:dyDescent="0.2">
      <c r="A21" s="376">
        <v>11250</v>
      </c>
      <c r="B21" s="376" t="s">
        <v>152</v>
      </c>
      <c r="C21" s="376" t="s">
        <v>293</v>
      </c>
      <c r="D21" s="404" t="s">
        <v>2</v>
      </c>
      <c r="E21" s="141"/>
      <c r="F21" s="144">
        <v>6691.7</v>
      </c>
      <c r="G21" s="145">
        <f t="shared" si="0"/>
        <v>13.17564640744737</v>
      </c>
      <c r="H21" s="146">
        <f t="shared" si="1"/>
        <v>6.7166899291077291</v>
      </c>
      <c r="I21" s="321"/>
      <c r="J21" s="11"/>
      <c r="K21" s="295">
        <v>0</v>
      </c>
      <c r="L21" s="140"/>
      <c r="M21" s="140"/>
      <c r="N21" s="148"/>
      <c r="O21" s="147"/>
      <c r="P21" s="315"/>
      <c r="Q21" s="149"/>
      <c r="R21" s="314">
        <v>938.08</v>
      </c>
      <c r="S21" s="143">
        <f>(R21*1000)/Z21/52</f>
        <v>2.0976744186046514</v>
      </c>
      <c r="T21" s="149">
        <f>(R21*1000)/AF21/52</f>
        <v>1.0693538826318909</v>
      </c>
      <c r="V21" s="332">
        <f>'App 1-Services'!H21</f>
        <v>9460</v>
      </c>
      <c r="W21" s="267">
        <v>9767</v>
      </c>
      <c r="X21" s="268">
        <v>0</v>
      </c>
      <c r="Y21" s="269">
        <v>0</v>
      </c>
      <c r="Z21" s="269">
        <v>8600</v>
      </c>
      <c r="AB21" s="284">
        <f>'App 1-Services'!G21</f>
        <v>18557</v>
      </c>
      <c r="AC21" s="9">
        <f t="shared" si="2"/>
        <v>19159.21976744186</v>
      </c>
      <c r="AD21" s="9">
        <f t="shared" si="3"/>
        <v>0</v>
      </c>
      <c r="AE21" s="9">
        <f t="shared" si="4"/>
        <v>0</v>
      </c>
      <c r="AF21" s="9">
        <f t="shared" si="5"/>
        <v>16870</v>
      </c>
      <c r="AG21" s="280">
        <v>1</v>
      </c>
      <c r="AH21" s="147"/>
      <c r="AI21" s="266">
        <f t="shared" si="6"/>
        <v>8600</v>
      </c>
    </row>
    <row r="22" spans="1:35" x14ac:dyDescent="0.2">
      <c r="A22" s="376">
        <v>11300</v>
      </c>
      <c r="B22" s="376" t="s">
        <v>153</v>
      </c>
      <c r="C22" s="376" t="s">
        <v>127</v>
      </c>
      <c r="D22" s="404" t="s">
        <v>4</v>
      </c>
      <c r="E22" s="141"/>
      <c r="F22" s="144">
        <v>7639.16</v>
      </c>
      <c r="G22" s="145">
        <f t="shared" si="0"/>
        <v>10.328102016094142</v>
      </c>
      <c r="H22" s="146">
        <f t="shared" si="1"/>
        <v>4.0242959341712936</v>
      </c>
      <c r="I22" s="321"/>
      <c r="J22" s="11"/>
      <c r="K22" s="156">
        <v>2568.12</v>
      </c>
      <c r="L22" s="140">
        <f t="shared" ref="L22:L28" si="9">(K22*1000)/X22/52</f>
        <v>3.4720840183438608</v>
      </c>
      <c r="M22" s="140">
        <f t="shared" ref="M22:M28" si="10">(K22*1000)/AD22/52</f>
        <v>1.3528810594965917</v>
      </c>
      <c r="N22" s="148"/>
      <c r="O22" s="147">
        <v>2195.54</v>
      </c>
      <c r="P22" s="315">
        <f>(O22*1000)/Y22/52</f>
        <v>2.968357921605953</v>
      </c>
      <c r="Q22" s="149">
        <f>(O22*1000)/AE22/52</f>
        <v>1.1566065765490501</v>
      </c>
      <c r="R22" s="314"/>
      <c r="S22" s="143"/>
      <c r="T22" s="149"/>
      <c r="V22" s="332">
        <f>'App 1-Services'!H22</f>
        <v>14224</v>
      </c>
      <c r="W22" s="267">
        <v>14224</v>
      </c>
      <c r="X22" s="268">
        <v>14224</v>
      </c>
      <c r="Y22" s="269">
        <v>14224</v>
      </c>
      <c r="Z22" s="269">
        <v>0</v>
      </c>
      <c r="AB22" s="284">
        <f>'App 1-Services'!G22</f>
        <v>36505</v>
      </c>
      <c r="AC22" s="9">
        <f t="shared" si="2"/>
        <v>36505</v>
      </c>
      <c r="AD22" s="9">
        <f t="shared" si="3"/>
        <v>36505</v>
      </c>
      <c r="AE22" s="9">
        <f t="shared" si="4"/>
        <v>36505</v>
      </c>
      <c r="AF22" s="9">
        <f t="shared" si="5"/>
        <v>0</v>
      </c>
      <c r="AG22" s="280"/>
      <c r="AH22" s="147">
        <v>1</v>
      </c>
      <c r="AI22" s="266">
        <f t="shared" si="6"/>
        <v>14224</v>
      </c>
    </row>
    <row r="23" spans="1:35" x14ac:dyDescent="0.2">
      <c r="A23" s="376">
        <v>11350</v>
      </c>
      <c r="B23" s="376" t="s">
        <v>154</v>
      </c>
      <c r="C23" s="376" t="s">
        <v>131</v>
      </c>
      <c r="D23" s="404" t="s">
        <v>5</v>
      </c>
      <c r="E23" s="141"/>
      <c r="F23" s="144">
        <v>5458.77</v>
      </c>
      <c r="G23" s="145">
        <f t="shared" si="0"/>
        <v>7.7610783789624538</v>
      </c>
      <c r="H23" s="146">
        <f t="shared" si="1"/>
        <v>3.5794528204914879</v>
      </c>
      <c r="I23" s="321"/>
      <c r="J23" s="11"/>
      <c r="K23" s="156">
        <v>5354.72</v>
      </c>
      <c r="L23" s="140">
        <f t="shared" si="9"/>
        <v>7.5622666237339065</v>
      </c>
      <c r="M23" s="140">
        <f t="shared" si="10"/>
        <v>3.4877597253761645</v>
      </c>
      <c r="N23" s="141"/>
      <c r="O23" s="147"/>
      <c r="P23" s="315"/>
      <c r="Q23" s="149"/>
      <c r="R23" s="314">
        <v>4539.72</v>
      </c>
      <c r="S23" s="143">
        <f>(R23*1000)/Z23/52</f>
        <v>8.2860960224285964</v>
      </c>
      <c r="T23" s="149">
        <f>(R23*1000)/AF23/52</f>
        <v>3.8215938984384312</v>
      </c>
      <c r="V23" s="332">
        <f>'App 1-Services'!H23</f>
        <v>15348</v>
      </c>
      <c r="W23" s="267">
        <v>13526</v>
      </c>
      <c r="X23" s="268">
        <v>13617</v>
      </c>
      <c r="Y23" s="269">
        <v>0</v>
      </c>
      <c r="Z23" s="269">
        <v>10536</v>
      </c>
      <c r="AB23" s="284">
        <f>'App 1-Services'!G23</f>
        <v>33278</v>
      </c>
      <c r="AC23" s="9">
        <f t="shared" si="2"/>
        <v>29327.484232473289</v>
      </c>
      <c r="AD23" s="9">
        <f t="shared" si="3"/>
        <v>29524.793197810792</v>
      </c>
      <c r="AE23" s="9">
        <f t="shared" si="4"/>
        <v>0</v>
      </c>
      <c r="AF23" s="9">
        <f t="shared" si="5"/>
        <v>22844.475371383891</v>
      </c>
      <c r="AG23" s="280">
        <v>1</v>
      </c>
      <c r="AH23" s="147"/>
      <c r="AI23" s="266">
        <f t="shared" si="6"/>
        <v>10536</v>
      </c>
    </row>
    <row r="24" spans="1:35" x14ac:dyDescent="0.2">
      <c r="A24" s="376">
        <v>11400</v>
      </c>
      <c r="B24" s="376" t="s">
        <v>155</v>
      </c>
      <c r="C24" s="376" t="s">
        <v>293</v>
      </c>
      <c r="D24" s="404" t="s">
        <v>2</v>
      </c>
      <c r="E24" s="141"/>
      <c r="F24" s="144">
        <v>2005.14</v>
      </c>
      <c r="G24" s="145">
        <f t="shared" si="0"/>
        <v>10.771057155135367</v>
      </c>
      <c r="H24" s="146">
        <f t="shared" si="1"/>
        <v>5.4674714011280745</v>
      </c>
      <c r="I24" s="321"/>
      <c r="J24" s="11"/>
      <c r="K24" s="156">
        <v>678.92</v>
      </c>
      <c r="L24" s="140">
        <f t="shared" si="9"/>
        <v>3.6469703480876663</v>
      </c>
      <c r="M24" s="140">
        <f t="shared" si="10"/>
        <v>1.8512301802636588</v>
      </c>
      <c r="N24" s="141"/>
      <c r="O24" s="147"/>
      <c r="P24" s="315"/>
      <c r="Q24" s="149"/>
      <c r="R24" s="314"/>
      <c r="S24" s="143"/>
      <c r="T24" s="149"/>
      <c r="V24" s="332">
        <f>'App 1-Services'!H24</f>
        <v>7106</v>
      </c>
      <c r="W24" s="267">
        <v>3580</v>
      </c>
      <c r="X24" s="268">
        <v>3580</v>
      </c>
      <c r="Y24" s="269">
        <v>0</v>
      </c>
      <c r="Z24" s="269">
        <v>0</v>
      </c>
      <c r="AB24" s="284">
        <f>'App 1-Services'!G24</f>
        <v>13999</v>
      </c>
      <c r="AC24" s="9">
        <f t="shared" si="2"/>
        <v>7052.6906839290741</v>
      </c>
      <c r="AD24" s="9">
        <f t="shared" si="3"/>
        <v>7052.6906839290741</v>
      </c>
      <c r="AE24" s="9">
        <f t="shared" si="4"/>
        <v>0</v>
      </c>
      <c r="AF24" s="9">
        <f t="shared" si="5"/>
        <v>0</v>
      </c>
      <c r="AG24" s="280"/>
      <c r="AH24" s="147"/>
      <c r="AI24" s="266">
        <f t="shared" si="6"/>
        <v>0</v>
      </c>
    </row>
    <row r="25" spans="1:35" x14ac:dyDescent="0.2">
      <c r="A25" s="376">
        <v>11450</v>
      </c>
      <c r="B25" s="376" t="s">
        <v>157</v>
      </c>
      <c r="C25" s="376" t="s">
        <v>156</v>
      </c>
      <c r="D25" s="404" t="s">
        <v>4</v>
      </c>
      <c r="E25" s="141"/>
      <c r="F25" s="144">
        <v>17342</v>
      </c>
      <c r="G25" s="145">
        <f t="shared" si="0"/>
        <v>11.74337124546639</v>
      </c>
      <c r="H25" s="146">
        <f t="shared" si="1"/>
        <v>4.2031523321278605</v>
      </c>
      <c r="I25" s="321"/>
      <c r="J25" s="11"/>
      <c r="K25" s="295">
        <v>9197</v>
      </c>
      <c r="L25" s="140">
        <f t="shared" si="9"/>
        <v>6.3705429750165541</v>
      </c>
      <c r="M25" s="140">
        <f t="shared" si="10"/>
        <v>2.2801256983763318</v>
      </c>
      <c r="N25" s="141"/>
      <c r="O25" s="147">
        <v>9195</v>
      </c>
      <c r="P25" s="315">
        <f>(O25*1000)/Y25/52</f>
        <v>6.9939059081961421</v>
      </c>
      <c r="Q25" s="149">
        <f>(O25*1000)/AE25/52</f>
        <v>2.5032378960229282</v>
      </c>
      <c r="R25" s="314"/>
      <c r="S25" s="143"/>
      <c r="T25" s="149"/>
      <c r="V25" s="332">
        <f>'App 1-Services'!H25</f>
        <v>27740</v>
      </c>
      <c r="W25" s="267">
        <v>28399</v>
      </c>
      <c r="X25" s="268">
        <v>27763</v>
      </c>
      <c r="Y25" s="269">
        <v>25283</v>
      </c>
      <c r="Z25" s="269">
        <v>0</v>
      </c>
      <c r="AB25" s="284">
        <f>'App 1-Services'!G25</f>
        <v>77504</v>
      </c>
      <c r="AC25" s="9">
        <f t="shared" si="2"/>
        <v>79345.208940158613</v>
      </c>
      <c r="AD25" s="9">
        <f t="shared" si="3"/>
        <v>77568.260706560919</v>
      </c>
      <c r="AE25" s="9">
        <f t="shared" si="4"/>
        <v>70639.280173035324</v>
      </c>
      <c r="AF25" s="9">
        <f t="shared" si="5"/>
        <v>0</v>
      </c>
      <c r="AG25" s="280"/>
      <c r="AH25" s="147">
        <v>1</v>
      </c>
      <c r="AI25" s="266">
        <f t="shared" si="6"/>
        <v>25283</v>
      </c>
    </row>
    <row r="26" spans="1:35" x14ac:dyDescent="0.2">
      <c r="A26" s="376">
        <v>11500</v>
      </c>
      <c r="B26" s="376" t="s">
        <v>158</v>
      </c>
      <c r="C26" s="376" t="s">
        <v>156</v>
      </c>
      <c r="D26" s="404" t="s">
        <v>4</v>
      </c>
      <c r="E26" s="150"/>
      <c r="F26" s="144">
        <v>33650</v>
      </c>
      <c r="G26" s="145">
        <f t="shared" si="0"/>
        <v>11.856055854883286</v>
      </c>
      <c r="H26" s="146">
        <f t="shared" si="1"/>
        <v>4.1365704081152748</v>
      </c>
      <c r="I26" s="321"/>
      <c r="J26" s="11"/>
      <c r="K26" s="295">
        <v>14101</v>
      </c>
      <c r="L26" s="140">
        <f t="shared" si="9"/>
        <v>4.9682687551176583</v>
      </c>
      <c r="M26" s="140">
        <f t="shared" si="10"/>
        <v>1.7334258343189743</v>
      </c>
      <c r="N26" s="141"/>
      <c r="O26" s="147">
        <v>16641</v>
      </c>
      <c r="P26" s="315">
        <f>(O26*1000)/Y26/52</f>
        <v>5.8848700031120043</v>
      </c>
      <c r="Q26" s="149">
        <f>(O26*1000)/AE26/52</f>
        <v>2.0532274314861514</v>
      </c>
      <c r="R26" s="314"/>
      <c r="S26" s="143"/>
      <c r="T26" s="149"/>
      <c r="V26" s="332">
        <f>'App 1-Services'!H26</f>
        <v>56521</v>
      </c>
      <c r="W26" s="267">
        <v>54581</v>
      </c>
      <c r="X26" s="268">
        <v>54581</v>
      </c>
      <c r="Y26" s="269">
        <v>54380</v>
      </c>
      <c r="Z26" s="269">
        <v>0</v>
      </c>
      <c r="AB26" s="284">
        <f>'App 1-Services'!G26</f>
        <v>161998</v>
      </c>
      <c r="AC26" s="9">
        <f t="shared" si="2"/>
        <v>156437.65747244385</v>
      </c>
      <c r="AD26" s="9">
        <f t="shared" si="3"/>
        <v>156437.65747244385</v>
      </c>
      <c r="AE26" s="9">
        <f t="shared" si="4"/>
        <v>155861.56012809399</v>
      </c>
      <c r="AF26" s="9">
        <f t="shared" si="5"/>
        <v>0</v>
      </c>
      <c r="AG26" s="280"/>
      <c r="AH26" s="147">
        <v>1</v>
      </c>
      <c r="AI26" s="266">
        <f t="shared" si="6"/>
        <v>54380</v>
      </c>
    </row>
    <row r="27" spans="1:35" x14ac:dyDescent="0.2">
      <c r="A27" s="376">
        <v>11520</v>
      </c>
      <c r="B27" s="376" t="s">
        <v>159</v>
      </c>
      <c r="C27" s="376" t="s">
        <v>127</v>
      </c>
      <c r="D27" s="404" t="s">
        <v>4</v>
      </c>
      <c r="E27" s="151"/>
      <c r="F27" s="144">
        <v>18431</v>
      </c>
      <c r="G27" s="145">
        <f t="shared" si="0"/>
        <v>13.565092720437358</v>
      </c>
      <c r="H27" s="146">
        <f t="shared" si="1"/>
        <v>5.2465032877854636</v>
      </c>
      <c r="I27" s="321"/>
      <c r="J27" s="11"/>
      <c r="K27" s="295">
        <v>7905</v>
      </c>
      <c r="L27" s="140">
        <f t="shared" si="9"/>
        <v>5.7208155183543727</v>
      </c>
      <c r="M27" s="140">
        <f t="shared" si="10"/>
        <v>2.2126112990470306</v>
      </c>
      <c r="N27" s="141"/>
      <c r="O27" s="147">
        <v>4874.4399999999996</v>
      </c>
      <c r="P27" s="315">
        <f>(O27*1000)/Y27/52</f>
        <v>4.9469223056219729</v>
      </c>
      <c r="Q27" s="149">
        <f>(O27*1000)/AE27/52</f>
        <v>1.9132964791137921</v>
      </c>
      <c r="R27" s="314"/>
      <c r="S27" s="143"/>
      <c r="T27" s="149"/>
      <c r="V27" s="332">
        <f>'App 1-Services'!H27</f>
        <v>34974</v>
      </c>
      <c r="W27" s="267">
        <v>26129</v>
      </c>
      <c r="X27" s="268">
        <v>26573</v>
      </c>
      <c r="Y27" s="269">
        <v>18949</v>
      </c>
      <c r="Z27" s="283">
        <v>0</v>
      </c>
      <c r="AB27" s="284">
        <f>'App 1-Services'!G27</f>
        <v>90427</v>
      </c>
      <c r="AC27" s="9">
        <f t="shared" si="2"/>
        <v>67557.8167495854</v>
      </c>
      <c r="AD27" s="9">
        <f t="shared" si="3"/>
        <v>68705.800623320189</v>
      </c>
      <c r="AE27" s="9">
        <f t="shared" si="4"/>
        <v>48993.573025676218</v>
      </c>
      <c r="AF27" s="9">
        <f t="shared" si="5"/>
        <v>0</v>
      </c>
      <c r="AG27" s="280"/>
      <c r="AH27" s="147">
        <v>1</v>
      </c>
      <c r="AI27" s="266">
        <f t="shared" si="6"/>
        <v>18949</v>
      </c>
    </row>
    <row r="28" spans="1:35" x14ac:dyDescent="0.2">
      <c r="A28" s="376">
        <v>11570</v>
      </c>
      <c r="B28" s="376" t="s">
        <v>134</v>
      </c>
      <c r="C28" s="376" t="s">
        <v>127</v>
      </c>
      <c r="D28" s="404" t="s">
        <v>4</v>
      </c>
      <c r="E28" s="152"/>
      <c r="F28" s="144">
        <v>79956</v>
      </c>
      <c r="G28" s="145">
        <f t="shared" si="0"/>
        <v>15.740708658689085</v>
      </c>
      <c r="H28" s="146">
        <f t="shared" si="1"/>
        <v>5.0039970640794236</v>
      </c>
      <c r="I28" s="321"/>
      <c r="J28" s="11"/>
      <c r="K28" s="156">
        <v>26190.25</v>
      </c>
      <c r="L28" s="140">
        <f t="shared" si="9"/>
        <v>5.2702151772699137</v>
      </c>
      <c r="M28" s="140">
        <f t="shared" si="10"/>
        <v>1.6754100368643619</v>
      </c>
      <c r="N28" s="141"/>
      <c r="O28" s="147">
        <v>30281.599999999999</v>
      </c>
      <c r="P28" s="315">
        <f>(O28*1000)/Y28/52</f>
        <v>6.8279061713073528</v>
      </c>
      <c r="Q28" s="149">
        <f>(O28*1000)/AE28/52</f>
        <v>2.1706025551887218</v>
      </c>
      <c r="R28" s="314"/>
      <c r="S28" s="143"/>
      <c r="T28" s="149"/>
      <c r="V28" s="332">
        <f>'App 1-Services'!H28</f>
        <v>114340</v>
      </c>
      <c r="W28" s="267">
        <v>97684</v>
      </c>
      <c r="X28" s="268">
        <v>95567</v>
      </c>
      <c r="Y28" s="269">
        <v>85288</v>
      </c>
      <c r="Z28" s="283">
        <v>0</v>
      </c>
      <c r="AB28" s="284">
        <f>'App 1-Services'!G28</f>
        <v>359671</v>
      </c>
      <c r="AC28" s="9">
        <f t="shared" si="2"/>
        <v>307277.43540318345</v>
      </c>
      <c r="AD28" s="9">
        <f t="shared" si="3"/>
        <v>300618.14288088161</v>
      </c>
      <c r="AE28" s="9">
        <f t="shared" si="4"/>
        <v>268284.24215497641</v>
      </c>
      <c r="AF28" s="9">
        <f t="shared" si="5"/>
        <v>0</v>
      </c>
      <c r="AG28" s="280"/>
      <c r="AH28" s="147">
        <v>1</v>
      </c>
      <c r="AI28" s="266">
        <f t="shared" si="6"/>
        <v>85288</v>
      </c>
    </row>
    <row r="29" spans="1:35" x14ac:dyDescent="0.2">
      <c r="A29" s="376">
        <v>11600</v>
      </c>
      <c r="B29" s="376" t="s">
        <v>161</v>
      </c>
      <c r="C29" s="376" t="s">
        <v>705</v>
      </c>
      <c r="D29" s="404" t="s">
        <v>2</v>
      </c>
      <c r="E29" s="152"/>
      <c r="F29" s="144">
        <v>1152.28</v>
      </c>
      <c r="G29" s="145">
        <f t="shared" si="0"/>
        <v>31.476180069930074</v>
      </c>
      <c r="H29" s="146">
        <f t="shared" si="1"/>
        <v>29.925179892571197</v>
      </c>
      <c r="I29" s="321"/>
      <c r="J29" s="11"/>
      <c r="K29" s="156">
        <v>0</v>
      </c>
      <c r="L29" s="140"/>
      <c r="M29" s="140"/>
      <c r="N29" s="141"/>
      <c r="O29" s="147"/>
      <c r="P29" s="315"/>
      <c r="Q29" s="149"/>
      <c r="R29" s="314"/>
      <c r="S29" s="143"/>
      <c r="T29" s="149"/>
      <c r="V29" s="332">
        <f>'App 1-Services'!H29</f>
        <v>2624</v>
      </c>
      <c r="W29" s="267">
        <v>704</v>
      </c>
      <c r="X29" s="268">
        <v>0</v>
      </c>
      <c r="Y29" s="269">
        <v>0</v>
      </c>
      <c r="Z29" s="283">
        <v>0</v>
      </c>
      <c r="AB29" s="284">
        <f>'App 1-Services'!G29</f>
        <v>2760</v>
      </c>
      <c r="AC29" s="9">
        <f t="shared" si="2"/>
        <v>740.48780487804879</v>
      </c>
      <c r="AD29" s="9">
        <f t="shared" si="3"/>
        <v>0</v>
      </c>
      <c r="AE29" s="9">
        <f t="shared" si="4"/>
        <v>0</v>
      </c>
      <c r="AF29" s="9">
        <f t="shared" si="5"/>
        <v>0</v>
      </c>
      <c r="AG29" s="280"/>
      <c r="AH29" s="147"/>
      <c r="AI29" s="266">
        <f t="shared" si="6"/>
        <v>0</v>
      </c>
    </row>
    <row r="30" spans="1:35" x14ac:dyDescent="0.2">
      <c r="A30" s="376">
        <v>11650</v>
      </c>
      <c r="B30" s="376" t="s">
        <v>181</v>
      </c>
      <c r="C30" s="376" t="s">
        <v>163</v>
      </c>
      <c r="D30" s="404" t="s">
        <v>3</v>
      </c>
      <c r="E30" s="152"/>
      <c r="F30" s="144">
        <v>76118</v>
      </c>
      <c r="G30" s="145">
        <f t="shared" si="0"/>
        <v>11.100468588581792</v>
      </c>
      <c r="H30" s="146">
        <f t="shared" si="1"/>
        <v>4.3250313903656723</v>
      </c>
      <c r="I30" s="321"/>
      <c r="J30" s="11"/>
      <c r="K30" s="156">
        <v>36611</v>
      </c>
      <c r="L30" s="140">
        <f>(K30*1000)/X30/52</f>
        <v>5.3260637434295246</v>
      </c>
      <c r="M30" s="140">
        <f>(K30*1000)/AD30/52</f>
        <v>2.0751730157694377</v>
      </c>
      <c r="N30" s="148"/>
      <c r="O30" s="147">
        <v>38124</v>
      </c>
      <c r="P30" s="315">
        <f>(O30*1000)/Y30/52</f>
        <v>5.9321453689930106</v>
      </c>
      <c r="Q30" s="149">
        <f>(O30*1000)/AE30/52</f>
        <v>2.3113181870086308</v>
      </c>
      <c r="R30" s="314"/>
      <c r="S30" s="143"/>
      <c r="T30" s="149"/>
      <c r="V30" s="332">
        <f>'App 1-Services'!H30</f>
        <v>130469</v>
      </c>
      <c r="W30" s="267">
        <v>131869</v>
      </c>
      <c r="X30" s="268">
        <v>132191</v>
      </c>
      <c r="Y30" s="269">
        <v>123590</v>
      </c>
      <c r="Z30" s="283">
        <v>0</v>
      </c>
      <c r="AB30" s="284">
        <f>'App 1-Services'!G30</f>
        <v>334857</v>
      </c>
      <c r="AC30" s="9">
        <f t="shared" si="2"/>
        <v>338450.18918670336</v>
      </c>
      <c r="AD30" s="9">
        <f t="shared" si="3"/>
        <v>339276.62269964512</v>
      </c>
      <c r="AE30" s="9">
        <f t="shared" si="4"/>
        <v>317201.60827476258</v>
      </c>
      <c r="AF30" s="9">
        <f t="shared" si="5"/>
        <v>0</v>
      </c>
      <c r="AG30" s="280"/>
      <c r="AH30" s="147">
        <v>1</v>
      </c>
      <c r="AI30" s="266">
        <f t="shared" si="6"/>
        <v>123590</v>
      </c>
    </row>
    <row r="31" spans="1:35" x14ac:dyDescent="0.2">
      <c r="A31" s="376">
        <v>11700</v>
      </c>
      <c r="B31" s="376" t="s">
        <v>162</v>
      </c>
      <c r="C31" s="376" t="s">
        <v>293</v>
      </c>
      <c r="D31" s="404" t="s">
        <v>2</v>
      </c>
      <c r="E31" s="152"/>
      <c r="F31" s="144">
        <v>480</v>
      </c>
      <c r="G31" s="145">
        <f t="shared" si="0"/>
        <v>12.838343853642879</v>
      </c>
      <c r="H31" s="146">
        <f t="shared" si="1"/>
        <v>8.5526938039485678</v>
      </c>
      <c r="I31" s="321"/>
      <c r="J31" s="11"/>
      <c r="K31" s="156">
        <v>0</v>
      </c>
      <c r="L31" s="140"/>
      <c r="M31" s="140"/>
      <c r="N31" s="141"/>
      <c r="O31" s="147"/>
      <c r="P31" s="315"/>
      <c r="Q31" s="149"/>
      <c r="R31" s="314"/>
      <c r="S31" s="143"/>
      <c r="T31" s="149"/>
      <c r="V31" s="332">
        <f>'App 1-Services'!H31</f>
        <v>1379</v>
      </c>
      <c r="W31" s="267">
        <v>719</v>
      </c>
      <c r="X31" s="268">
        <v>0</v>
      </c>
      <c r="Y31" s="269">
        <v>0</v>
      </c>
      <c r="Z31" s="283">
        <v>0</v>
      </c>
      <c r="AB31" s="284">
        <f>'App 1-Services'!G31</f>
        <v>2070</v>
      </c>
      <c r="AC31" s="9">
        <f t="shared" si="2"/>
        <v>1079.2820884699056</v>
      </c>
      <c r="AD31" s="9">
        <f t="shared" si="3"/>
        <v>0</v>
      </c>
      <c r="AE31" s="9">
        <f t="shared" si="4"/>
        <v>0</v>
      </c>
      <c r="AF31" s="9">
        <f t="shared" si="5"/>
        <v>0</v>
      </c>
      <c r="AG31" s="280"/>
      <c r="AH31" s="147"/>
      <c r="AI31" s="266">
        <f t="shared" si="6"/>
        <v>0</v>
      </c>
    </row>
    <row r="32" spans="1:35" x14ac:dyDescent="0.2">
      <c r="A32" s="376">
        <v>11720</v>
      </c>
      <c r="B32" s="376" t="s">
        <v>164</v>
      </c>
      <c r="C32" s="376" t="s">
        <v>163</v>
      </c>
      <c r="D32" s="404" t="s">
        <v>3</v>
      </c>
      <c r="E32" s="152"/>
      <c r="F32" s="144">
        <v>16572.93</v>
      </c>
      <c r="G32" s="145">
        <f t="shared" si="0"/>
        <v>15.012255878836189</v>
      </c>
      <c r="H32" s="146">
        <f>(F32*1000)/AC32/52</f>
        <v>6.424795137843395</v>
      </c>
      <c r="I32" s="321"/>
      <c r="J32" s="11"/>
      <c r="K32" s="156">
        <v>5074.58</v>
      </c>
      <c r="L32" s="140">
        <f>(K32*1000)/X32/52</f>
        <v>4.5967064024058839</v>
      </c>
      <c r="M32" s="140">
        <f>(K32*1000)/AD32/52</f>
        <v>1.9672524357851831</v>
      </c>
      <c r="N32" s="141"/>
      <c r="O32" s="147">
        <v>1701.76</v>
      </c>
      <c r="P32" s="315">
        <f>(O32*1000)/Y32/52</f>
        <v>1.541505126997355</v>
      </c>
      <c r="Q32" s="149">
        <f>(O32*1000)/AE32/52</f>
        <v>0.65971794811034468</v>
      </c>
      <c r="R32" s="314"/>
      <c r="S32" s="143"/>
      <c r="T32" s="149"/>
      <c r="V32" s="332">
        <f>'App 1-Services'!H32</f>
        <v>24194</v>
      </c>
      <c r="W32" s="267">
        <v>21230</v>
      </c>
      <c r="X32" s="268">
        <v>21230</v>
      </c>
      <c r="Y32" s="269">
        <v>21230</v>
      </c>
      <c r="Z32" s="283">
        <v>0</v>
      </c>
      <c r="AB32" s="284">
        <f>'App 1-Services'!G32</f>
        <v>56532</v>
      </c>
      <c r="AC32" s="9">
        <f>(W32/$V32)*$AB32</f>
        <v>49606.280896089935</v>
      </c>
      <c r="AD32" s="9">
        <f t="shared" si="3"/>
        <v>49606.280896089935</v>
      </c>
      <c r="AE32" s="9">
        <f t="shared" si="4"/>
        <v>49606.280896089935</v>
      </c>
      <c r="AF32" s="9">
        <f t="shared" si="5"/>
        <v>0</v>
      </c>
      <c r="AG32" s="280"/>
      <c r="AH32" s="147">
        <v>1</v>
      </c>
      <c r="AI32" s="266">
        <f t="shared" si="6"/>
        <v>21230</v>
      </c>
    </row>
    <row r="33" spans="1:35" x14ac:dyDescent="0.2">
      <c r="A33" s="376">
        <v>11730</v>
      </c>
      <c r="B33" s="376" t="s">
        <v>165</v>
      </c>
      <c r="C33" s="376" t="s">
        <v>131</v>
      </c>
      <c r="D33" s="404" t="s">
        <v>5</v>
      </c>
      <c r="E33" s="152"/>
      <c r="F33" s="144">
        <v>7713</v>
      </c>
      <c r="G33" s="145">
        <f t="shared" si="0"/>
        <v>6.6967774200606378</v>
      </c>
      <c r="H33" s="146">
        <f t="shared" si="1"/>
        <v>3.0921481493185814</v>
      </c>
      <c r="I33" s="321"/>
      <c r="J33" s="11"/>
      <c r="K33" s="156">
        <v>6948</v>
      </c>
      <c r="L33" s="140">
        <f>(K33*1000)/X33/52</f>
        <v>6.0445774537608958</v>
      </c>
      <c r="M33" s="140">
        <f>(K33*1000)/AD33/52</f>
        <v>2.7910034654982359</v>
      </c>
      <c r="N33" s="141"/>
      <c r="O33" s="147"/>
      <c r="P33" s="315"/>
      <c r="Q33" s="149"/>
      <c r="R33" s="314">
        <v>7441</v>
      </c>
      <c r="S33" s="143">
        <f>(R33*1000)/Z33/52</f>
        <v>7.9888428900264534</v>
      </c>
      <c r="T33" s="149">
        <f>(R33*1000)/AF33/52</f>
        <v>3.6887422424394276</v>
      </c>
      <c r="V33" s="332">
        <f>'App 1-Services'!H33</f>
        <v>23646</v>
      </c>
      <c r="W33" s="267">
        <v>22149</v>
      </c>
      <c r="X33" s="268">
        <v>22105</v>
      </c>
      <c r="Y33" s="269">
        <v>0</v>
      </c>
      <c r="Z33" s="283">
        <v>17912</v>
      </c>
      <c r="AB33" s="284">
        <f>'App 1-Services'!G33</f>
        <v>51211</v>
      </c>
      <c r="AC33" s="9">
        <f t="shared" si="2"/>
        <v>47968.892793707178</v>
      </c>
      <c r="AD33" s="9">
        <f t="shared" si="3"/>
        <v>47873.600397530237</v>
      </c>
      <c r="AE33" s="9">
        <f t="shared" si="4"/>
        <v>0</v>
      </c>
      <c r="AF33" s="9">
        <f t="shared" si="5"/>
        <v>38792.668189122895</v>
      </c>
      <c r="AG33" s="280">
        <v>1</v>
      </c>
      <c r="AH33" s="147"/>
      <c r="AI33" s="266">
        <f t="shared" si="6"/>
        <v>17912</v>
      </c>
    </row>
    <row r="34" spans="1:35" x14ac:dyDescent="0.2">
      <c r="A34" s="376">
        <v>11750</v>
      </c>
      <c r="B34" s="376" t="s">
        <v>166</v>
      </c>
      <c r="C34" s="376" t="s">
        <v>293</v>
      </c>
      <c r="D34" s="404" t="s">
        <v>2</v>
      </c>
      <c r="E34" s="152"/>
      <c r="F34" s="144">
        <v>1464.2</v>
      </c>
      <c r="G34" s="145">
        <f t="shared" si="0"/>
        <v>11.31740044521395</v>
      </c>
      <c r="H34" s="146">
        <f t="shared" si="1"/>
        <v>6.1044547199981443</v>
      </c>
      <c r="I34" s="321"/>
      <c r="J34" s="11"/>
      <c r="K34" s="156">
        <v>0</v>
      </c>
      <c r="L34" s="140"/>
      <c r="M34" s="140"/>
      <c r="N34" s="141"/>
      <c r="O34" s="147"/>
      <c r="P34" s="315"/>
      <c r="Q34" s="149"/>
      <c r="R34" s="314"/>
      <c r="S34" s="143"/>
      <c r="T34" s="149"/>
      <c r="V34" s="332">
        <f>'App 1-Services'!H34</f>
        <v>2691</v>
      </c>
      <c r="W34" s="267">
        <v>2488</v>
      </c>
      <c r="X34" s="268">
        <v>0</v>
      </c>
      <c r="Y34" s="269">
        <v>0</v>
      </c>
      <c r="Z34" s="283">
        <v>0</v>
      </c>
      <c r="AB34" s="284">
        <f>'App 1-Services'!G34</f>
        <v>4989</v>
      </c>
      <c r="AC34" s="9">
        <f t="shared" si="2"/>
        <v>4612.6465997770347</v>
      </c>
      <c r="AD34" s="9">
        <f t="shared" si="3"/>
        <v>0</v>
      </c>
      <c r="AE34" s="9">
        <f t="shared" si="4"/>
        <v>0</v>
      </c>
      <c r="AF34" s="9">
        <f t="shared" si="5"/>
        <v>0</v>
      </c>
      <c r="AG34" s="280"/>
      <c r="AH34" s="147"/>
      <c r="AI34" s="266">
        <f t="shared" si="6"/>
        <v>0</v>
      </c>
    </row>
    <row r="35" spans="1:35" x14ac:dyDescent="0.2">
      <c r="A35" s="376">
        <v>11800</v>
      </c>
      <c r="B35" s="376" t="s">
        <v>167</v>
      </c>
      <c r="C35" s="376" t="s">
        <v>294</v>
      </c>
      <c r="D35" s="404" t="s">
        <v>5</v>
      </c>
      <c r="E35" s="152"/>
      <c r="F35" s="144">
        <v>13249.07</v>
      </c>
      <c r="G35" s="145">
        <f t="shared" si="0"/>
        <v>7.9492639364878226</v>
      </c>
      <c r="H35" s="146">
        <f t="shared" si="1"/>
        <v>3.1542307505254019</v>
      </c>
      <c r="I35" s="321"/>
      <c r="J35" s="11"/>
      <c r="K35" s="295">
        <v>8749.2000000000007</v>
      </c>
      <c r="L35" s="140">
        <f>(K35*1000)/X35/52</f>
        <v>6.1842116423657938</v>
      </c>
      <c r="M35" s="140">
        <f>(K35*1000)/AD35/52</f>
        <v>2.4538662555373389</v>
      </c>
      <c r="N35" s="141"/>
      <c r="O35" s="147"/>
      <c r="P35" s="315"/>
      <c r="Q35" s="149"/>
      <c r="R35" s="314">
        <v>11468.14</v>
      </c>
      <c r="S35" s="143">
        <f>(R35*1000)/Z35/52</f>
        <v>6.8749385531392448</v>
      </c>
      <c r="T35" s="149">
        <f>(R35*1000)/AF35/52</f>
        <v>2.727943463135964</v>
      </c>
      <c r="V35" s="332">
        <f>'App 1-Services'!H35</f>
        <v>29320</v>
      </c>
      <c r="W35" s="267">
        <v>32052</v>
      </c>
      <c r="X35" s="268">
        <v>27207</v>
      </c>
      <c r="Y35" s="269">
        <v>0</v>
      </c>
      <c r="Z35" s="283">
        <v>32079</v>
      </c>
      <c r="AB35" s="284">
        <f>'App 1-Services'!G35</f>
        <v>73892</v>
      </c>
      <c r="AC35" s="9">
        <f t="shared" si="2"/>
        <v>80777.161800818547</v>
      </c>
      <c r="AD35" s="9">
        <f t="shared" si="3"/>
        <v>68566.836425648027</v>
      </c>
      <c r="AE35" s="9">
        <f t="shared" si="4"/>
        <v>0</v>
      </c>
      <c r="AF35" s="9">
        <f t="shared" si="5"/>
        <v>80845.206957708055</v>
      </c>
      <c r="AG35" s="280">
        <v>1</v>
      </c>
      <c r="AH35" s="147"/>
      <c r="AI35" s="266">
        <f t="shared" si="6"/>
        <v>32079</v>
      </c>
    </row>
    <row r="36" spans="1:35" x14ac:dyDescent="0.2">
      <c r="A36" s="376">
        <v>12000</v>
      </c>
      <c r="B36" s="376" t="s">
        <v>169</v>
      </c>
      <c r="C36" s="376" t="s">
        <v>142</v>
      </c>
      <c r="D36" s="404" t="s">
        <v>2</v>
      </c>
      <c r="E36" s="152"/>
      <c r="F36" s="144">
        <v>716</v>
      </c>
      <c r="G36" s="145">
        <f t="shared" si="0"/>
        <v>8.3399338396309926</v>
      </c>
      <c r="H36" s="146">
        <f t="shared" si="1"/>
        <v>3.8123254935629345</v>
      </c>
      <c r="I36" s="321"/>
      <c r="J36" s="11"/>
      <c r="K36" s="295">
        <v>316</v>
      </c>
      <c r="L36" s="140">
        <f>(K36*1000)/X36/52</f>
        <v>3.7674662597167248</v>
      </c>
      <c r="M36" s="140">
        <f>(K36*1000)/AD36/52</f>
        <v>1.7221728546340314</v>
      </c>
      <c r="N36" s="141"/>
      <c r="O36" s="147"/>
      <c r="P36" s="315"/>
      <c r="Q36" s="149"/>
      <c r="R36" s="314">
        <v>320</v>
      </c>
      <c r="S36" s="143">
        <f>(R36*1000)/Z36/52</f>
        <v>5.2959089103667418</v>
      </c>
      <c r="T36" s="149">
        <f>(R36*1000)/AF36/52</f>
        <v>2.4208499658159806</v>
      </c>
      <c r="V36" s="332">
        <f>'App 1-Services'!H36</f>
        <v>2020</v>
      </c>
      <c r="W36" s="267">
        <v>1651</v>
      </c>
      <c r="X36" s="268">
        <v>1613</v>
      </c>
      <c r="Y36" s="269">
        <v>0</v>
      </c>
      <c r="Z36" s="283">
        <v>1162</v>
      </c>
      <c r="AB36" s="284">
        <f>'App 1-Services'!G36</f>
        <v>4419</v>
      </c>
      <c r="AC36" s="9">
        <f t="shared" si="2"/>
        <v>3611.7668316831682</v>
      </c>
      <c r="AD36" s="9">
        <f t="shared" si="3"/>
        <v>3528.6371287128713</v>
      </c>
      <c r="AE36" s="9">
        <f t="shared" si="4"/>
        <v>0</v>
      </c>
      <c r="AF36" s="9">
        <f t="shared" si="5"/>
        <v>2542.018811881188</v>
      </c>
      <c r="AG36" s="280">
        <v>1</v>
      </c>
      <c r="AH36" s="147"/>
      <c r="AI36" s="266">
        <f t="shared" si="6"/>
        <v>1162</v>
      </c>
    </row>
    <row r="37" spans="1:35" x14ac:dyDescent="0.2">
      <c r="A37" s="376">
        <v>12150</v>
      </c>
      <c r="B37" s="376" t="s">
        <v>170</v>
      </c>
      <c r="C37" s="376" t="s">
        <v>293</v>
      </c>
      <c r="D37" s="404" t="s">
        <v>2</v>
      </c>
      <c r="E37" s="152"/>
      <c r="F37" s="144">
        <v>2300</v>
      </c>
      <c r="G37" s="145">
        <f>(F37*1000)/W37/52</f>
        <v>30.129951792077129</v>
      </c>
      <c r="H37" s="146">
        <f t="shared" ref="H37:H68" si="11">(F37*1000)/AC37/52</f>
        <v>11.345495218745375</v>
      </c>
      <c r="I37" s="321"/>
      <c r="J37" s="11"/>
      <c r="K37" s="156">
        <v>0</v>
      </c>
      <c r="L37" s="140"/>
      <c r="M37" s="140"/>
      <c r="N37" s="141"/>
      <c r="O37" s="147"/>
      <c r="P37" s="315"/>
      <c r="Q37" s="149"/>
      <c r="R37" s="314"/>
      <c r="S37" s="143"/>
      <c r="T37" s="149"/>
      <c r="V37" s="332">
        <f>'App 1-Services'!H37</f>
        <v>1577</v>
      </c>
      <c r="W37" s="267">
        <v>1468</v>
      </c>
      <c r="X37" s="268">
        <v>0</v>
      </c>
      <c r="Y37" s="269">
        <v>0</v>
      </c>
      <c r="Z37" s="283">
        <v>0</v>
      </c>
      <c r="AB37" s="284">
        <f>'App 1-Services'!G37</f>
        <v>4188</v>
      </c>
      <c r="AC37" s="9">
        <f t="shared" ref="AC37:AC68" si="12">(W37/$V37)*$AB37</f>
        <v>3898.5313887127459</v>
      </c>
      <c r="AD37" s="9">
        <f t="shared" ref="AD37:AD68" si="13">(X37/$V37)*$AB37</f>
        <v>0</v>
      </c>
      <c r="AE37" s="9">
        <f t="shared" ref="AE37:AE68" si="14">(Y37/$V37)*$AB37</f>
        <v>0</v>
      </c>
      <c r="AF37" s="9">
        <f t="shared" ref="AF37:AF68" si="15">(Z37/$V37)*$AB37</f>
        <v>0</v>
      </c>
      <c r="AG37" s="280"/>
      <c r="AH37" s="147"/>
      <c r="AI37" s="266">
        <f t="shared" ref="AI37:AI68" si="16">Y37+Z37</f>
        <v>0</v>
      </c>
    </row>
    <row r="38" spans="1:35" x14ac:dyDescent="0.2">
      <c r="A38" s="376">
        <v>12350</v>
      </c>
      <c r="B38" s="376" t="s">
        <v>172</v>
      </c>
      <c r="C38" s="376" t="s">
        <v>293</v>
      </c>
      <c r="D38" s="404" t="s">
        <v>2</v>
      </c>
      <c r="E38" s="141"/>
      <c r="F38" s="144">
        <v>3028.44</v>
      </c>
      <c r="G38" s="145">
        <f t="shared" ref="G38:G68" si="17">(F38*1000)/W38/52</f>
        <v>13.320958547399536</v>
      </c>
      <c r="H38" s="146">
        <f t="shared" si="11"/>
        <v>4.649096413285764</v>
      </c>
      <c r="I38" s="321"/>
      <c r="J38" s="11"/>
      <c r="K38" s="156">
        <v>988.07</v>
      </c>
      <c r="L38" s="140">
        <f>(K38*1000)/X38/52</f>
        <v>4.4709049773755662</v>
      </c>
      <c r="M38" s="140">
        <f>(K38*1000)/AD38/52</f>
        <v>1.5603733185188773</v>
      </c>
      <c r="N38" s="141"/>
      <c r="O38" s="147"/>
      <c r="P38" s="315"/>
      <c r="Q38" s="149"/>
      <c r="R38" s="314"/>
      <c r="S38" s="143"/>
      <c r="T38" s="149"/>
      <c r="V38" s="332">
        <f>'App 1-Services'!H38</f>
        <v>4372</v>
      </c>
      <c r="W38" s="267">
        <v>4372</v>
      </c>
      <c r="X38" s="268">
        <v>4250</v>
      </c>
      <c r="Y38" s="269">
        <v>0</v>
      </c>
      <c r="Z38" s="283">
        <v>0</v>
      </c>
      <c r="AB38" s="284">
        <f>'App 1-Services'!G38</f>
        <v>12527</v>
      </c>
      <c r="AC38" s="9">
        <f t="shared" si="12"/>
        <v>12527</v>
      </c>
      <c r="AD38" s="9">
        <f t="shared" si="13"/>
        <v>12177.435956084171</v>
      </c>
      <c r="AE38" s="9">
        <f t="shared" si="14"/>
        <v>0</v>
      </c>
      <c r="AF38" s="9">
        <f t="shared" si="15"/>
        <v>0</v>
      </c>
      <c r="AG38" s="280"/>
      <c r="AH38" s="147"/>
      <c r="AI38" s="266">
        <f t="shared" si="16"/>
        <v>0</v>
      </c>
    </row>
    <row r="39" spans="1:35" x14ac:dyDescent="0.2">
      <c r="A39" s="376">
        <v>12380</v>
      </c>
      <c r="B39" s="376" t="s">
        <v>130</v>
      </c>
      <c r="C39" s="376" t="s">
        <v>129</v>
      </c>
      <c r="D39" s="404" t="s">
        <v>4</v>
      </c>
      <c r="E39" s="141"/>
      <c r="F39" s="144">
        <v>57700</v>
      </c>
      <c r="G39" s="145">
        <f t="shared" si="17"/>
        <v>16.099348325165543</v>
      </c>
      <c r="H39" s="146">
        <f t="shared" si="11"/>
        <v>5.2093524269817788</v>
      </c>
      <c r="I39" s="321"/>
      <c r="J39" s="11"/>
      <c r="K39" s="295">
        <v>11387</v>
      </c>
      <c r="L39" s="140">
        <f>(K39*1000)/X39/52</f>
        <v>3.3322798330787373</v>
      </c>
      <c r="M39" s="140">
        <f>(K39*1000)/AD39/52</f>
        <v>1.0782436459677422</v>
      </c>
      <c r="N39" s="141"/>
      <c r="O39" s="147">
        <v>3367</v>
      </c>
      <c r="P39" s="315">
        <f>(O39*1000)/Y39/52</f>
        <v>2.8670740347148422</v>
      </c>
      <c r="Q39" s="149">
        <f>(O39*1000)/AE39/52</f>
        <v>0.92771451237760749</v>
      </c>
      <c r="R39" s="314"/>
      <c r="S39" s="143"/>
      <c r="T39" s="149"/>
      <c r="V39" s="332">
        <f>'App 1-Services'!H39</f>
        <v>72079</v>
      </c>
      <c r="W39" s="267">
        <v>68923</v>
      </c>
      <c r="X39" s="268">
        <v>65715</v>
      </c>
      <c r="Y39" s="269">
        <v>22584</v>
      </c>
      <c r="Z39" s="283">
        <v>0</v>
      </c>
      <c r="AB39" s="284">
        <f>'App 1-Services'!G39</f>
        <v>222758</v>
      </c>
      <c r="AC39" s="9">
        <f t="shared" si="12"/>
        <v>213004.4761164833</v>
      </c>
      <c r="AD39" s="9">
        <f t="shared" si="13"/>
        <v>203090.24778368179</v>
      </c>
      <c r="AE39" s="9">
        <f t="shared" si="14"/>
        <v>69795.1785124655</v>
      </c>
      <c r="AF39" s="9">
        <f t="shared" si="15"/>
        <v>0</v>
      </c>
      <c r="AG39" s="280"/>
      <c r="AH39" s="147">
        <v>1</v>
      </c>
      <c r="AI39" s="266">
        <f t="shared" si="16"/>
        <v>22584</v>
      </c>
    </row>
    <row r="40" spans="1:35" x14ac:dyDescent="0.2">
      <c r="A40" s="376">
        <v>12700</v>
      </c>
      <c r="B40" s="376" t="s">
        <v>174</v>
      </c>
      <c r="C40" s="376" t="s">
        <v>163</v>
      </c>
      <c r="D40" s="404" t="s">
        <v>5</v>
      </c>
      <c r="E40" s="141"/>
      <c r="F40" s="144">
        <v>2091.34</v>
      </c>
      <c r="G40" s="145">
        <f t="shared" si="17"/>
        <v>11.345014646848217</v>
      </c>
      <c r="H40" s="146">
        <f t="shared" si="11"/>
        <v>6.4288010703957017</v>
      </c>
      <c r="I40" s="321"/>
      <c r="J40" s="11"/>
      <c r="K40" s="156">
        <v>843.21</v>
      </c>
      <c r="L40" s="140">
        <f>(K40*1000)/X40/52</f>
        <v>4.6053896401808929</v>
      </c>
      <c r="M40" s="140">
        <f>(K40*1000)/AD40/52</f>
        <v>2.6097043300520921</v>
      </c>
      <c r="N40" s="141"/>
      <c r="O40" s="147"/>
      <c r="P40" s="315"/>
      <c r="Q40" s="149"/>
      <c r="R40" s="314"/>
      <c r="S40" s="143"/>
      <c r="T40" s="149"/>
      <c r="V40" s="332">
        <f>'App 1-Services'!H40</f>
        <v>5283</v>
      </c>
      <c r="W40" s="267">
        <v>3545</v>
      </c>
      <c r="X40" s="268">
        <v>3521</v>
      </c>
      <c r="Y40" s="269">
        <v>0</v>
      </c>
      <c r="Z40" s="283">
        <v>0</v>
      </c>
      <c r="AB40" s="284">
        <f>'App 1-Services'!G40</f>
        <v>9323</v>
      </c>
      <c r="AC40" s="9">
        <f t="shared" si="12"/>
        <v>6255.9218247208028</v>
      </c>
      <c r="AD40" s="9">
        <f t="shared" si="13"/>
        <v>6213.5686163164874</v>
      </c>
      <c r="AE40" s="9">
        <f t="shared" si="14"/>
        <v>0</v>
      </c>
      <c r="AF40" s="9">
        <f t="shared" si="15"/>
        <v>0</v>
      </c>
      <c r="AG40" s="280"/>
      <c r="AH40" s="147"/>
      <c r="AI40" s="266">
        <f t="shared" si="16"/>
        <v>0</v>
      </c>
    </row>
    <row r="41" spans="1:35" x14ac:dyDescent="0.2">
      <c r="A41" s="376">
        <v>12730</v>
      </c>
      <c r="B41" s="376" t="s">
        <v>168</v>
      </c>
      <c r="C41" s="376" t="s">
        <v>703</v>
      </c>
      <c r="D41" s="404" t="s">
        <v>2</v>
      </c>
      <c r="E41" s="141"/>
      <c r="F41" s="153">
        <v>2726.04</v>
      </c>
      <c r="G41" s="145">
        <f t="shared" si="17"/>
        <v>15.333093347132539</v>
      </c>
      <c r="H41" s="146">
        <f t="shared" si="11"/>
        <v>5.866514759673513</v>
      </c>
      <c r="I41" s="321"/>
      <c r="J41" s="11"/>
      <c r="K41" s="295">
        <v>0</v>
      </c>
      <c r="L41" s="140"/>
      <c r="M41" s="140"/>
      <c r="N41" s="141"/>
      <c r="O41" s="147"/>
      <c r="P41" s="315"/>
      <c r="Q41" s="149"/>
      <c r="R41" s="314"/>
      <c r="S41" s="143"/>
      <c r="T41" s="149"/>
      <c r="V41" s="332">
        <f>'App 1-Services'!H41</f>
        <v>3396</v>
      </c>
      <c r="W41" s="267">
        <v>3419</v>
      </c>
      <c r="X41" s="268">
        <v>0</v>
      </c>
      <c r="Y41" s="269">
        <v>0</v>
      </c>
      <c r="Z41" s="283">
        <v>0</v>
      </c>
      <c r="AB41" s="284">
        <f>'App 1-Services'!G41</f>
        <v>8876</v>
      </c>
      <c r="AC41" s="9">
        <f t="shared" si="12"/>
        <v>8936.1142520612484</v>
      </c>
      <c r="AD41" s="9">
        <f t="shared" si="13"/>
        <v>0</v>
      </c>
      <c r="AE41" s="9">
        <f t="shared" si="14"/>
        <v>0</v>
      </c>
      <c r="AF41" s="9">
        <f t="shared" si="15"/>
        <v>0</v>
      </c>
      <c r="AG41" s="280"/>
      <c r="AH41" s="147"/>
      <c r="AI41" s="266">
        <f t="shared" si="16"/>
        <v>0</v>
      </c>
    </row>
    <row r="42" spans="1:35" x14ac:dyDescent="0.2">
      <c r="A42" s="376">
        <v>12750</v>
      </c>
      <c r="B42" s="376" t="s">
        <v>175</v>
      </c>
      <c r="C42" s="376" t="s">
        <v>704</v>
      </c>
      <c r="D42" s="404" t="s">
        <v>2</v>
      </c>
      <c r="E42" s="141"/>
      <c r="F42" s="144">
        <v>6490.56</v>
      </c>
      <c r="G42" s="145">
        <f t="shared" si="17"/>
        <v>5.6678985350314024</v>
      </c>
      <c r="H42" s="146">
        <f t="shared" si="11"/>
        <v>3.5025320152994488</v>
      </c>
      <c r="I42" s="321"/>
      <c r="J42" s="11"/>
      <c r="K42" s="156">
        <v>4736</v>
      </c>
      <c r="L42" s="140">
        <f t="shared" ref="L42:L55" si="18">(K42*1000)/X42/52</f>
        <v>4.1140538023725304</v>
      </c>
      <c r="M42" s="140">
        <f t="shared" ref="M42:M55" si="19">(K42*1000)/AD42/52</f>
        <v>2.5423188270596637</v>
      </c>
      <c r="N42" s="141"/>
      <c r="O42" s="147">
        <v>4496</v>
      </c>
      <c r="P42" s="315">
        <f>(O42*1000)/Y42/52</f>
        <v>4.0412030129253784</v>
      </c>
      <c r="Q42" s="149">
        <f>(O42*1000)/AE42/52</f>
        <v>2.497299986160975</v>
      </c>
      <c r="R42" s="314"/>
      <c r="S42" s="143"/>
      <c r="T42" s="149"/>
      <c r="V42" s="332">
        <f>'App 1-Services'!H42</f>
        <v>23556</v>
      </c>
      <c r="W42" s="267">
        <v>22022</v>
      </c>
      <c r="X42" s="268">
        <v>22138</v>
      </c>
      <c r="Y42" s="269">
        <v>21395</v>
      </c>
      <c r="Z42" s="283">
        <v>0</v>
      </c>
      <c r="AB42" s="284">
        <f>'App 1-Services'!G42</f>
        <v>38119</v>
      </c>
      <c r="AC42" s="9">
        <f t="shared" si="12"/>
        <v>35636.636865342167</v>
      </c>
      <c r="AD42" s="9">
        <f t="shared" si="13"/>
        <v>35824.351417897778</v>
      </c>
      <c r="AE42" s="9">
        <f t="shared" si="14"/>
        <v>34622.007344201054</v>
      </c>
      <c r="AF42" s="9">
        <f t="shared" si="15"/>
        <v>0</v>
      </c>
      <c r="AG42" s="280"/>
      <c r="AH42" s="147">
        <v>1</v>
      </c>
      <c r="AI42" s="266">
        <f t="shared" si="16"/>
        <v>21395</v>
      </c>
    </row>
    <row r="43" spans="1:35" x14ac:dyDescent="0.2">
      <c r="A43" s="376">
        <v>12850</v>
      </c>
      <c r="B43" s="376" t="s">
        <v>176</v>
      </c>
      <c r="C43" s="376" t="s">
        <v>129</v>
      </c>
      <c r="D43" s="404" t="s">
        <v>4</v>
      </c>
      <c r="E43" s="141"/>
      <c r="F43" s="144">
        <v>68099</v>
      </c>
      <c r="G43" s="145">
        <f t="shared" si="17"/>
        <v>22.762125940246701</v>
      </c>
      <c r="H43" s="146">
        <f t="shared" si="11"/>
        <v>6.9383021868851049</v>
      </c>
      <c r="I43" s="321"/>
      <c r="J43" s="11"/>
      <c r="K43" s="156">
        <v>11909.47</v>
      </c>
      <c r="L43" s="140">
        <f t="shared" si="18"/>
        <v>3.6293779987127479</v>
      </c>
      <c r="M43" s="140">
        <f t="shared" si="19"/>
        <v>1.1062991818781058</v>
      </c>
      <c r="N43" s="141"/>
      <c r="O43" s="147"/>
      <c r="P43" s="315"/>
      <c r="Q43" s="149"/>
      <c r="R43" s="314"/>
      <c r="S43" s="143"/>
      <c r="T43" s="149"/>
      <c r="V43" s="332">
        <f>'App 1-Services'!H43</f>
        <v>63104</v>
      </c>
      <c r="W43" s="267">
        <v>57534</v>
      </c>
      <c r="X43" s="268">
        <v>63104</v>
      </c>
      <c r="Y43" s="269">
        <v>0</v>
      </c>
      <c r="Z43" s="283">
        <v>0</v>
      </c>
      <c r="AB43" s="284">
        <f>'App 1-Services'!G43</f>
        <v>207022</v>
      </c>
      <c r="AC43" s="9">
        <f t="shared" si="12"/>
        <v>188748.79164553751</v>
      </c>
      <c r="AD43" s="9">
        <f t="shared" si="13"/>
        <v>207022</v>
      </c>
      <c r="AE43" s="9">
        <f t="shared" si="14"/>
        <v>0</v>
      </c>
      <c r="AF43" s="9">
        <f t="shared" si="15"/>
        <v>0</v>
      </c>
      <c r="AG43" s="280"/>
      <c r="AH43" s="147"/>
      <c r="AI43" s="266">
        <f t="shared" si="16"/>
        <v>0</v>
      </c>
    </row>
    <row r="44" spans="1:35" x14ac:dyDescent="0.2">
      <c r="A44" s="376">
        <v>12870</v>
      </c>
      <c r="B44" s="376" t="s">
        <v>171</v>
      </c>
      <c r="C44" s="376" t="s">
        <v>703</v>
      </c>
      <c r="D44" s="404" t="s">
        <v>2</v>
      </c>
      <c r="E44" s="141"/>
      <c r="F44" s="144">
        <v>2340</v>
      </c>
      <c r="G44" s="145">
        <f t="shared" si="17"/>
        <v>6.6894603835290622</v>
      </c>
      <c r="H44" s="146">
        <f t="shared" si="11"/>
        <v>3.6494255589035545</v>
      </c>
      <c r="I44" s="321"/>
      <c r="J44" s="11"/>
      <c r="K44" s="295">
        <v>1342</v>
      </c>
      <c r="L44" s="140">
        <f t="shared" si="18"/>
        <v>4.2601010742311498</v>
      </c>
      <c r="M44" s="140">
        <f t="shared" si="19"/>
        <v>2.3240920571249104</v>
      </c>
      <c r="N44" s="141"/>
      <c r="O44" s="147"/>
      <c r="P44" s="315"/>
      <c r="Q44" s="149"/>
      <c r="R44" s="314">
        <v>2200</v>
      </c>
      <c r="S44" s="143">
        <f>(R44*1000)/Z44/52</f>
        <v>6.9837722528379516</v>
      </c>
      <c r="T44" s="149">
        <f>(R44*1000)/AF44/52</f>
        <v>3.8099869788932952</v>
      </c>
      <c r="V44" s="332">
        <f>'App 1-Services'!H44</f>
        <v>6857</v>
      </c>
      <c r="W44" s="267">
        <v>6727</v>
      </c>
      <c r="X44" s="268">
        <v>6058</v>
      </c>
      <c r="Y44" s="269">
        <v>0</v>
      </c>
      <c r="Z44" s="283">
        <v>6058</v>
      </c>
      <c r="AB44" s="284">
        <f>'App 1-Services'!G44</f>
        <v>12569</v>
      </c>
      <c r="AC44" s="9">
        <f t="shared" si="12"/>
        <v>12330.707743911331</v>
      </c>
      <c r="AD44" s="9">
        <f t="shared" si="13"/>
        <v>11104.419133731953</v>
      </c>
      <c r="AE44" s="9">
        <f t="shared" si="14"/>
        <v>0</v>
      </c>
      <c r="AF44" s="9">
        <f t="shared" si="15"/>
        <v>11104.419133731953</v>
      </c>
      <c r="AG44" s="280">
        <v>1</v>
      </c>
      <c r="AH44" s="147"/>
      <c r="AI44" s="266">
        <f t="shared" si="16"/>
        <v>6058</v>
      </c>
    </row>
    <row r="45" spans="1:35" x14ac:dyDescent="0.2">
      <c r="A45" s="376">
        <v>12900</v>
      </c>
      <c r="B45" s="376" t="s">
        <v>177</v>
      </c>
      <c r="C45" s="376" t="s">
        <v>293</v>
      </c>
      <c r="D45" s="404" t="s">
        <v>2</v>
      </c>
      <c r="E45" s="141"/>
      <c r="F45" s="144">
        <v>1393.53</v>
      </c>
      <c r="G45" s="145">
        <f t="shared" si="17"/>
        <v>6.4234549008038941</v>
      </c>
      <c r="H45" s="146">
        <f t="shared" si="11"/>
        <v>3.0387781630441024</v>
      </c>
      <c r="I45" s="321"/>
      <c r="J45" s="11"/>
      <c r="K45" s="156">
        <v>542</v>
      </c>
      <c r="L45" s="140">
        <f t="shared" si="18"/>
        <v>2.8486135345933103</v>
      </c>
      <c r="M45" s="140">
        <f t="shared" si="19"/>
        <v>1.347608839409878</v>
      </c>
      <c r="N45" s="141"/>
      <c r="O45" s="147"/>
      <c r="P45" s="315"/>
      <c r="Q45" s="149"/>
      <c r="R45" s="314">
        <v>1050</v>
      </c>
      <c r="S45" s="143">
        <f>(R45*1000)/Z45/52</f>
        <v>6.1580688296150328</v>
      </c>
      <c r="T45" s="149">
        <f>(R45*1000)/AF45/52</f>
        <v>2.9132305550420829</v>
      </c>
      <c r="V45" s="332">
        <f>'App 1-Services'!H45</f>
        <v>4621</v>
      </c>
      <c r="W45" s="267">
        <v>4172</v>
      </c>
      <c r="X45" s="268">
        <v>3659</v>
      </c>
      <c r="Y45" s="269">
        <v>0</v>
      </c>
      <c r="Z45" s="283">
        <v>3279</v>
      </c>
      <c r="AB45" s="284">
        <f>'App 1-Services'!G45</f>
        <v>9768</v>
      </c>
      <c r="AC45" s="9">
        <f t="shared" si="12"/>
        <v>8818.8911491019262</v>
      </c>
      <c r="AD45" s="9">
        <f t="shared" si="13"/>
        <v>7734.4972949578014</v>
      </c>
      <c r="AE45" s="9">
        <f t="shared" si="14"/>
        <v>0</v>
      </c>
      <c r="AF45" s="9">
        <f t="shared" si="15"/>
        <v>6931.2425881843756</v>
      </c>
      <c r="AG45" s="280">
        <v>1</v>
      </c>
      <c r="AH45" s="147"/>
      <c r="AI45" s="266">
        <f t="shared" si="16"/>
        <v>3279</v>
      </c>
    </row>
    <row r="46" spans="1:35" x14ac:dyDescent="0.2">
      <c r="A46" s="376">
        <v>12930</v>
      </c>
      <c r="B46" s="376" t="s">
        <v>193</v>
      </c>
      <c r="C46" s="376" t="s">
        <v>127</v>
      </c>
      <c r="D46" s="404" t="s">
        <v>4</v>
      </c>
      <c r="E46" s="148"/>
      <c r="F46" s="144">
        <v>34669</v>
      </c>
      <c r="G46" s="145">
        <f t="shared" si="17"/>
        <v>13.794412365752265</v>
      </c>
      <c r="H46" s="146">
        <f t="shared" si="11"/>
        <v>5.0445125781735056</v>
      </c>
      <c r="I46" s="321"/>
      <c r="J46" s="11"/>
      <c r="K46" s="156">
        <v>19613</v>
      </c>
      <c r="L46" s="140">
        <f t="shared" si="18"/>
        <v>12.937266821810967</v>
      </c>
      <c r="M46" s="140">
        <f t="shared" si="19"/>
        <v>4.7310609165085058</v>
      </c>
      <c r="N46" s="148"/>
      <c r="O46" s="147">
        <v>11967</v>
      </c>
      <c r="P46" s="315">
        <f>(O46*1000)/Y46/52</f>
        <v>12.209380624150638</v>
      </c>
      <c r="Q46" s="149">
        <f>(O46*1000)/AE46/52</f>
        <v>4.4648784230307443</v>
      </c>
      <c r="R46" s="314">
        <v>0</v>
      </c>
      <c r="S46" s="143"/>
      <c r="T46" s="149"/>
      <c r="V46" s="332">
        <f>'App 1-Services'!H46</f>
        <v>54667</v>
      </c>
      <c r="W46" s="267">
        <v>48332</v>
      </c>
      <c r="X46" s="268">
        <v>29154</v>
      </c>
      <c r="Y46" s="269">
        <v>18849</v>
      </c>
      <c r="Z46" s="283">
        <v>0</v>
      </c>
      <c r="AB46" s="284">
        <f>'App 1-Services'!G46</f>
        <v>149489</v>
      </c>
      <c r="AC46" s="9">
        <f t="shared" si="12"/>
        <v>132165.7004774361</v>
      </c>
      <c r="AD46" s="9">
        <f t="shared" si="13"/>
        <v>79722.72680044634</v>
      </c>
      <c r="AE46" s="9">
        <f t="shared" si="14"/>
        <v>51543.310607862149</v>
      </c>
      <c r="AF46" s="9">
        <f t="shared" si="15"/>
        <v>0</v>
      </c>
      <c r="AG46" s="280"/>
      <c r="AH46" s="147">
        <v>1</v>
      </c>
      <c r="AI46" s="266">
        <f t="shared" si="16"/>
        <v>18849</v>
      </c>
    </row>
    <row r="47" spans="1:35" x14ac:dyDescent="0.2">
      <c r="A47" s="376">
        <v>12950</v>
      </c>
      <c r="B47" s="376" t="s">
        <v>178</v>
      </c>
      <c r="C47" s="376" t="s">
        <v>293</v>
      </c>
      <c r="D47" s="404" t="s">
        <v>2</v>
      </c>
      <c r="E47" s="141"/>
      <c r="F47" s="144">
        <v>783</v>
      </c>
      <c r="G47" s="145">
        <f t="shared" si="17"/>
        <v>14.085773908037707</v>
      </c>
      <c r="H47" s="146">
        <f t="shared" si="11"/>
        <v>6.7918758071177434</v>
      </c>
      <c r="I47" s="321"/>
      <c r="J47" s="11"/>
      <c r="K47" s="156">
        <v>587.6</v>
      </c>
      <c r="L47" s="140">
        <f t="shared" si="18"/>
        <v>10.570626753975679</v>
      </c>
      <c r="M47" s="140">
        <f t="shared" si="19"/>
        <v>5.0969428151499176</v>
      </c>
      <c r="N47" s="141"/>
      <c r="O47" s="147"/>
      <c r="P47" s="315"/>
      <c r="Q47" s="149"/>
      <c r="R47" s="314"/>
      <c r="S47" s="143"/>
      <c r="T47" s="149"/>
      <c r="V47" s="332">
        <f>'App 1-Services'!H47</f>
        <v>2097</v>
      </c>
      <c r="W47" s="267">
        <v>1069</v>
      </c>
      <c r="X47" s="268">
        <v>1069</v>
      </c>
      <c r="Y47" s="269">
        <v>0</v>
      </c>
      <c r="Z47" s="283">
        <v>0</v>
      </c>
      <c r="AB47" s="284">
        <f>'App 1-Services'!G47</f>
        <v>4349</v>
      </c>
      <c r="AC47" s="9">
        <f t="shared" si="12"/>
        <v>2217.0152598950885</v>
      </c>
      <c r="AD47" s="9">
        <f t="shared" si="13"/>
        <v>2217.0152598950885</v>
      </c>
      <c r="AE47" s="9">
        <f t="shared" si="14"/>
        <v>0</v>
      </c>
      <c r="AF47" s="9">
        <f t="shared" si="15"/>
        <v>0</v>
      </c>
      <c r="AG47" s="280"/>
      <c r="AH47" s="147"/>
      <c r="AI47" s="266">
        <f t="shared" si="16"/>
        <v>0</v>
      </c>
    </row>
    <row r="48" spans="1:35" x14ac:dyDescent="0.2">
      <c r="A48" s="376">
        <v>13010</v>
      </c>
      <c r="B48" s="376" t="s">
        <v>179</v>
      </c>
      <c r="C48" s="376" t="s">
        <v>125</v>
      </c>
      <c r="D48" s="404" t="s">
        <v>2</v>
      </c>
      <c r="E48" s="141"/>
      <c r="F48" s="144">
        <v>1760</v>
      </c>
      <c r="G48" s="145">
        <f t="shared" si="17"/>
        <v>8.9256734826355082</v>
      </c>
      <c r="H48" s="146">
        <f t="shared" si="11"/>
        <v>4.2441820359604456</v>
      </c>
      <c r="I48" s="321"/>
      <c r="J48" s="11"/>
      <c r="K48" s="295">
        <v>579.4</v>
      </c>
      <c r="L48" s="140">
        <f t="shared" si="18"/>
        <v>2.9383722817267119</v>
      </c>
      <c r="M48" s="140">
        <f t="shared" si="19"/>
        <v>1.3972040179747061</v>
      </c>
      <c r="N48" s="141"/>
      <c r="O48" s="147"/>
      <c r="P48" s="315"/>
      <c r="Q48" s="149"/>
      <c r="R48" s="314"/>
      <c r="S48" s="143"/>
      <c r="T48" s="149"/>
      <c r="V48" s="332">
        <f>'App 1-Services'!H48</f>
        <v>4280</v>
      </c>
      <c r="W48" s="267">
        <v>3792</v>
      </c>
      <c r="X48" s="268">
        <v>3792</v>
      </c>
      <c r="Y48" s="269">
        <v>0</v>
      </c>
      <c r="Z48" s="283">
        <v>0</v>
      </c>
      <c r="AB48" s="284">
        <f>'App 1-Services'!G48</f>
        <v>9001</v>
      </c>
      <c r="AC48" s="9">
        <f t="shared" si="12"/>
        <v>7974.7177570093454</v>
      </c>
      <c r="AD48" s="9">
        <f t="shared" si="13"/>
        <v>7974.7177570093454</v>
      </c>
      <c r="AE48" s="9">
        <f t="shared" si="14"/>
        <v>0</v>
      </c>
      <c r="AF48" s="9">
        <f t="shared" si="15"/>
        <v>0</v>
      </c>
      <c r="AG48" s="280"/>
      <c r="AH48" s="147"/>
      <c r="AI48" s="266">
        <f t="shared" si="16"/>
        <v>0</v>
      </c>
    </row>
    <row r="49" spans="1:35" x14ac:dyDescent="0.2">
      <c r="A49" s="376">
        <v>13310</v>
      </c>
      <c r="B49" s="376" t="s">
        <v>182</v>
      </c>
      <c r="C49" s="376" t="s">
        <v>704</v>
      </c>
      <c r="D49" s="404" t="s">
        <v>2</v>
      </c>
      <c r="E49" s="141"/>
      <c r="F49" s="144">
        <v>3873.3</v>
      </c>
      <c r="G49" s="145">
        <f t="shared" si="17"/>
        <v>6.9289803220035777</v>
      </c>
      <c r="H49" s="146">
        <f t="shared" si="11"/>
        <v>3.2467870557580105</v>
      </c>
      <c r="I49" s="321"/>
      <c r="J49" s="11"/>
      <c r="K49" s="295">
        <v>2090.62</v>
      </c>
      <c r="L49" s="140">
        <f t="shared" si="18"/>
        <v>3.7326367811002479</v>
      </c>
      <c r="M49" s="140">
        <f t="shared" si="19"/>
        <v>1.7490418822863951</v>
      </c>
      <c r="N49" s="141"/>
      <c r="O49" s="147"/>
      <c r="P49" s="315"/>
      <c r="Q49" s="149"/>
      <c r="R49" s="314">
        <v>1301.76</v>
      </c>
      <c r="S49" s="143">
        <f>(R49*1000)/Z49/52</f>
        <v>5.8258892608438799</v>
      </c>
      <c r="T49" s="149">
        <f>(R49*1000)/AF49/52</f>
        <v>2.7298997776512581</v>
      </c>
      <c r="V49" s="332">
        <f>'App 1-Services'!H49</f>
        <v>14019</v>
      </c>
      <c r="W49" s="267">
        <v>10750</v>
      </c>
      <c r="X49" s="268">
        <v>10771</v>
      </c>
      <c r="Y49" s="269">
        <v>0</v>
      </c>
      <c r="Z49" s="283">
        <v>4297</v>
      </c>
      <c r="AB49" s="284">
        <f>'App 1-Services'!G49</f>
        <v>29918</v>
      </c>
      <c r="AC49" s="9">
        <f t="shared" si="12"/>
        <v>22941.614951137741</v>
      </c>
      <c r="AD49" s="9">
        <f t="shared" si="13"/>
        <v>22986.431129181827</v>
      </c>
      <c r="AE49" s="9">
        <f t="shared" si="14"/>
        <v>0</v>
      </c>
      <c r="AF49" s="9">
        <f t="shared" si="15"/>
        <v>9170.2436693059426</v>
      </c>
      <c r="AG49" s="280">
        <v>1</v>
      </c>
      <c r="AH49" s="147"/>
      <c r="AI49" s="266">
        <f t="shared" si="16"/>
        <v>4297</v>
      </c>
    </row>
    <row r="50" spans="1:35" x14ac:dyDescent="0.2">
      <c r="A50" s="376">
        <v>13340</v>
      </c>
      <c r="B50" s="376" t="s">
        <v>183</v>
      </c>
      <c r="C50" s="376" t="s">
        <v>703</v>
      </c>
      <c r="D50" s="404" t="s">
        <v>2</v>
      </c>
      <c r="E50" s="141"/>
      <c r="F50" s="144">
        <v>2284</v>
      </c>
      <c r="G50" s="145">
        <f t="shared" si="17"/>
        <v>14.990811236545026</v>
      </c>
      <c r="H50" s="146">
        <f t="shared" si="11"/>
        <v>5.2149468264744367</v>
      </c>
      <c r="I50" s="321"/>
      <c r="J50" s="11"/>
      <c r="K50" s="156">
        <v>756</v>
      </c>
      <c r="L50" s="140">
        <f t="shared" si="18"/>
        <v>5.0480769230769234</v>
      </c>
      <c r="M50" s="140">
        <f t="shared" si="19"/>
        <v>1.7561059447951626</v>
      </c>
      <c r="N50" s="141"/>
      <c r="O50" s="147"/>
      <c r="P50" s="315"/>
      <c r="Q50" s="149"/>
      <c r="R50" s="314"/>
      <c r="S50" s="143"/>
      <c r="T50" s="149"/>
      <c r="V50" s="332">
        <f>'App 1-Services'!H50</f>
        <v>3620</v>
      </c>
      <c r="W50" s="267">
        <v>2930</v>
      </c>
      <c r="X50" s="268">
        <v>2880</v>
      </c>
      <c r="Y50" s="269">
        <v>0</v>
      </c>
      <c r="Z50" s="283">
        <v>0</v>
      </c>
      <c r="AB50" s="284">
        <f>'App 1-Services'!G50</f>
        <v>10406</v>
      </c>
      <c r="AC50" s="9">
        <f t="shared" si="12"/>
        <v>8422.53591160221</v>
      </c>
      <c r="AD50" s="9">
        <f t="shared" si="13"/>
        <v>8278.8066298342546</v>
      </c>
      <c r="AE50" s="9">
        <f t="shared" si="14"/>
        <v>0</v>
      </c>
      <c r="AF50" s="9">
        <f t="shared" si="15"/>
        <v>0</v>
      </c>
      <c r="AG50" s="280"/>
      <c r="AH50" s="147"/>
      <c r="AI50" s="266">
        <f t="shared" si="16"/>
        <v>0</v>
      </c>
    </row>
    <row r="51" spans="1:35" x14ac:dyDescent="0.2">
      <c r="A51" s="376">
        <v>13450</v>
      </c>
      <c r="B51" s="376" t="s">
        <v>184</v>
      </c>
      <c r="C51" s="376" t="s">
        <v>705</v>
      </c>
      <c r="D51" s="404" t="s">
        <v>2</v>
      </c>
      <c r="E51" s="148"/>
      <c r="F51" s="144">
        <v>6947.28</v>
      </c>
      <c r="G51" s="145">
        <f t="shared" si="17"/>
        <v>14.173725701415073</v>
      </c>
      <c r="H51" s="146">
        <f t="shared" si="11"/>
        <v>5.7134356119273537</v>
      </c>
      <c r="I51" s="321"/>
      <c r="J51" s="11"/>
      <c r="K51" s="156">
        <v>1503</v>
      </c>
      <c r="L51" s="140">
        <f t="shared" si="18"/>
        <v>3.2822900469959295</v>
      </c>
      <c r="M51" s="140">
        <f t="shared" si="19"/>
        <v>1.3230926884177658</v>
      </c>
      <c r="N51" s="148"/>
      <c r="O51" s="147"/>
      <c r="P51" s="315"/>
      <c r="Q51" s="149"/>
      <c r="R51" s="314"/>
      <c r="S51" s="143"/>
      <c r="T51" s="149"/>
      <c r="V51" s="332">
        <f>'App 1-Services'!H51</f>
        <v>10531</v>
      </c>
      <c r="W51" s="267">
        <v>9426</v>
      </c>
      <c r="X51" s="268">
        <v>8806</v>
      </c>
      <c r="Y51" s="269">
        <v>0</v>
      </c>
      <c r="Z51" s="283">
        <v>0</v>
      </c>
      <c r="AB51" s="284">
        <f>'App 1-Services'!G51</f>
        <v>26125</v>
      </c>
      <c r="AC51" s="9">
        <f t="shared" si="12"/>
        <v>23383.747982147943</v>
      </c>
      <c r="AD51" s="9">
        <f t="shared" si="13"/>
        <v>21845.66992688254</v>
      </c>
      <c r="AE51" s="9">
        <f t="shared" si="14"/>
        <v>0</v>
      </c>
      <c r="AF51" s="9">
        <f t="shared" si="15"/>
        <v>0</v>
      </c>
      <c r="AG51" s="280"/>
      <c r="AH51" s="147"/>
      <c r="AI51" s="266">
        <f t="shared" si="16"/>
        <v>0</v>
      </c>
    </row>
    <row r="52" spans="1:35" x14ac:dyDescent="0.2">
      <c r="A52" s="376">
        <v>13510</v>
      </c>
      <c r="B52" s="376" t="s">
        <v>295</v>
      </c>
      <c r="C52" s="376" t="s">
        <v>142</v>
      </c>
      <c r="D52" s="404" t="s">
        <v>2</v>
      </c>
      <c r="E52" s="141"/>
      <c r="F52" s="144">
        <v>2251.16</v>
      </c>
      <c r="G52" s="145">
        <f t="shared" si="17"/>
        <v>8.3365180938837788</v>
      </c>
      <c r="H52" s="146">
        <f t="shared" si="11"/>
        <v>3.8001701598962834</v>
      </c>
      <c r="I52" s="321"/>
      <c r="J52" s="11"/>
      <c r="K52" s="156">
        <v>878.36</v>
      </c>
      <c r="L52" s="140">
        <f t="shared" si="18"/>
        <v>3.2527514849871868</v>
      </c>
      <c r="M52" s="140">
        <f t="shared" si="19"/>
        <v>1.482754429559205</v>
      </c>
      <c r="N52" s="141"/>
      <c r="O52" s="147">
        <v>846</v>
      </c>
      <c r="P52" s="315">
        <f>(O52*1000)/Y52/52</f>
        <v>4.6550016507098055</v>
      </c>
      <c r="Q52" s="149">
        <f>(O52*1000)/AE52/52</f>
        <v>2.1219648500821644</v>
      </c>
      <c r="R52" s="314">
        <v>150</v>
      </c>
      <c r="S52" s="143">
        <f>(R52*1000)/Z52/52</f>
        <v>3.2779720279720284</v>
      </c>
      <c r="T52" s="149">
        <f>(R52*1000)/AF52/52</f>
        <v>1.4942511184391449</v>
      </c>
      <c r="V52" s="332">
        <f>'App 1-Services'!H52</f>
        <v>5193</v>
      </c>
      <c r="W52" s="267">
        <v>5193</v>
      </c>
      <c r="X52" s="268">
        <v>5193</v>
      </c>
      <c r="Y52" s="269">
        <v>3495</v>
      </c>
      <c r="Z52" s="283">
        <v>880</v>
      </c>
      <c r="AB52" s="284">
        <f>'App 1-Services'!G52</f>
        <v>11392</v>
      </c>
      <c r="AC52" s="9">
        <f t="shared" si="12"/>
        <v>11392</v>
      </c>
      <c r="AD52" s="9">
        <f t="shared" si="13"/>
        <v>11392</v>
      </c>
      <c r="AE52" s="9">
        <f t="shared" si="14"/>
        <v>7667.0595031773537</v>
      </c>
      <c r="AF52" s="9">
        <f t="shared" si="15"/>
        <v>1930.4756402849991</v>
      </c>
      <c r="AG52" s="280">
        <v>1</v>
      </c>
      <c r="AH52" s="147">
        <v>1</v>
      </c>
      <c r="AI52" s="266">
        <f t="shared" si="16"/>
        <v>4375</v>
      </c>
    </row>
    <row r="53" spans="1:35" x14ac:dyDescent="0.2">
      <c r="A53" s="376">
        <v>13550</v>
      </c>
      <c r="B53" s="376" t="s">
        <v>185</v>
      </c>
      <c r="C53" s="376" t="s">
        <v>125</v>
      </c>
      <c r="D53" s="404" t="s">
        <v>2</v>
      </c>
      <c r="E53" s="141"/>
      <c r="F53" s="144">
        <v>2484.92</v>
      </c>
      <c r="G53" s="145">
        <f t="shared" si="17"/>
        <v>11.173000485602776</v>
      </c>
      <c r="H53" s="146">
        <f t="shared" si="11"/>
        <v>3.6790301853047254</v>
      </c>
      <c r="I53" s="321"/>
      <c r="J53" s="11"/>
      <c r="K53" s="156">
        <v>1336</v>
      </c>
      <c r="L53" s="140">
        <f t="shared" si="18"/>
        <v>6.0070862034855486</v>
      </c>
      <c r="M53" s="140">
        <f t="shared" si="19"/>
        <v>1.9780050575338897</v>
      </c>
      <c r="N53" s="141"/>
      <c r="O53" s="147">
        <v>1053.3499999999999</v>
      </c>
      <c r="P53" s="315">
        <f>(O53*1000)/Y53/52</f>
        <v>5.9719135522496369</v>
      </c>
      <c r="Q53" s="149">
        <f>(O53*1000)/AE53/52</f>
        <v>1.9664234554601352</v>
      </c>
      <c r="R53" s="314"/>
      <c r="S53" s="143"/>
      <c r="T53" s="149"/>
      <c r="V53" s="332">
        <f>'App 1-Services'!H53</f>
        <v>4277</v>
      </c>
      <c r="W53" s="267">
        <v>4277</v>
      </c>
      <c r="X53" s="268">
        <v>4277</v>
      </c>
      <c r="Y53" s="269">
        <v>3392</v>
      </c>
      <c r="Z53" s="283">
        <v>0</v>
      </c>
      <c r="AB53" s="284">
        <f>'App 1-Services'!G53</f>
        <v>12989</v>
      </c>
      <c r="AC53" s="9">
        <f t="shared" si="12"/>
        <v>12989</v>
      </c>
      <c r="AD53" s="9">
        <f t="shared" si="13"/>
        <v>12989</v>
      </c>
      <c r="AE53" s="9">
        <f t="shared" si="14"/>
        <v>10301.306523263971</v>
      </c>
      <c r="AF53" s="9">
        <f t="shared" si="15"/>
        <v>0</v>
      </c>
      <c r="AG53" s="280"/>
      <c r="AH53" s="147">
        <v>1</v>
      </c>
      <c r="AI53" s="266">
        <f t="shared" si="16"/>
        <v>3392</v>
      </c>
    </row>
    <row r="54" spans="1:35" x14ac:dyDescent="0.2">
      <c r="A54" s="376">
        <v>13660</v>
      </c>
      <c r="B54" s="376" t="s">
        <v>186</v>
      </c>
      <c r="C54" s="376" t="s">
        <v>125</v>
      </c>
      <c r="D54" s="404" t="s">
        <v>2</v>
      </c>
      <c r="E54" s="141"/>
      <c r="F54" s="144">
        <v>485.8</v>
      </c>
      <c r="G54" s="145">
        <f t="shared" si="17"/>
        <v>7.0242914979757085</v>
      </c>
      <c r="H54" s="146">
        <f t="shared" si="11"/>
        <v>2.3851868545810158</v>
      </c>
      <c r="I54" s="321"/>
      <c r="J54" s="275"/>
      <c r="K54" s="156">
        <v>283.7</v>
      </c>
      <c r="L54" s="140">
        <f t="shared" si="18"/>
        <v>4.1020821283979183</v>
      </c>
      <c r="M54" s="140">
        <f t="shared" si="19"/>
        <v>1.3929137724261718</v>
      </c>
      <c r="N54" s="141"/>
      <c r="O54" s="147"/>
      <c r="P54" s="315"/>
      <c r="Q54" s="149"/>
      <c r="R54" s="314">
        <v>218.3</v>
      </c>
      <c r="S54" s="143">
        <f>(R54*1000)/Z54/52</f>
        <v>3.156448814343551</v>
      </c>
      <c r="T54" s="149">
        <f>(R54*1000)/AF54/52</f>
        <v>1.0718120427234166</v>
      </c>
      <c r="V54" s="332">
        <f>'App 1-Services'!H54</f>
        <v>1708</v>
      </c>
      <c r="W54" s="267">
        <v>1330</v>
      </c>
      <c r="X54" s="268">
        <v>1330</v>
      </c>
      <c r="Y54" s="269">
        <v>0</v>
      </c>
      <c r="Z54" s="283">
        <v>1330</v>
      </c>
      <c r="AB54" s="284">
        <f>'App 1-Services'!G54</f>
        <v>5030</v>
      </c>
      <c r="AC54" s="9">
        <f t="shared" si="12"/>
        <v>3916.8032786885246</v>
      </c>
      <c r="AD54" s="9">
        <f t="shared" si="13"/>
        <v>3916.8032786885246</v>
      </c>
      <c r="AE54" s="9">
        <f t="shared" si="14"/>
        <v>0</v>
      </c>
      <c r="AF54" s="9">
        <f t="shared" si="15"/>
        <v>3916.8032786885246</v>
      </c>
      <c r="AG54" s="280">
        <v>1</v>
      </c>
      <c r="AH54" s="147"/>
      <c r="AI54" s="266">
        <f t="shared" si="16"/>
        <v>1330</v>
      </c>
    </row>
    <row r="55" spans="1:35" x14ac:dyDescent="0.2">
      <c r="A55" s="376">
        <v>13800</v>
      </c>
      <c r="B55" s="376" t="s">
        <v>188</v>
      </c>
      <c r="C55" s="376" t="s">
        <v>129</v>
      </c>
      <c r="D55" s="404" t="s">
        <v>3</v>
      </c>
      <c r="E55" s="141"/>
      <c r="F55" s="144">
        <v>17902.62</v>
      </c>
      <c r="G55" s="145">
        <f t="shared" si="17"/>
        <v>15.234353460159912</v>
      </c>
      <c r="H55" s="146">
        <f t="shared" si="11"/>
        <v>5.4876704327155048</v>
      </c>
      <c r="I55" s="321"/>
      <c r="J55" s="11"/>
      <c r="K55" s="156">
        <v>6356</v>
      </c>
      <c r="L55" s="140">
        <f t="shared" si="18"/>
        <v>5.408680438549017</v>
      </c>
      <c r="M55" s="140">
        <f t="shared" si="19"/>
        <v>1.9482976944346551</v>
      </c>
      <c r="N55" s="141"/>
      <c r="O55" s="147">
        <v>4331</v>
      </c>
      <c r="P55" s="315">
        <f>(O55*1000)/Y55/52</f>
        <v>6.3193066417649115</v>
      </c>
      <c r="Q55" s="149">
        <f>(O55*1000)/AE55/52</f>
        <v>2.2763205740213937</v>
      </c>
      <c r="R55" s="314"/>
      <c r="S55" s="143"/>
      <c r="T55" s="149"/>
      <c r="V55" s="332">
        <f>'App 1-Services'!H55</f>
        <v>24056</v>
      </c>
      <c r="W55" s="267">
        <v>22599</v>
      </c>
      <c r="X55" s="268">
        <v>22599</v>
      </c>
      <c r="Y55" s="269">
        <v>13180</v>
      </c>
      <c r="Z55" s="283">
        <v>0</v>
      </c>
      <c r="AB55" s="284">
        <f>'App 1-Services'!G55</f>
        <v>66782</v>
      </c>
      <c r="AC55" s="9">
        <f t="shared" si="12"/>
        <v>62737.213917525776</v>
      </c>
      <c r="AD55" s="9">
        <f t="shared" si="13"/>
        <v>62737.213917525776</v>
      </c>
      <c r="AE55" s="9">
        <f t="shared" si="14"/>
        <v>36589.073827735287</v>
      </c>
      <c r="AF55" s="9">
        <f t="shared" si="15"/>
        <v>0</v>
      </c>
      <c r="AG55" s="280"/>
      <c r="AH55" s="147">
        <v>1</v>
      </c>
      <c r="AI55" s="266">
        <f t="shared" si="16"/>
        <v>13180</v>
      </c>
    </row>
    <row r="56" spans="1:35" x14ac:dyDescent="0.2">
      <c r="A56" s="376">
        <v>13850</v>
      </c>
      <c r="B56" s="376" t="s">
        <v>189</v>
      </c>
      <c r="C56" s="376" t="s">
        <v>705</v>
      </c>
      <c r="D56" s="404" t="s">
        <v>2</v>
      </c>
      <c r="E56" s="141"/>
      <c r="F56" s="144">
        <v>752</v>
      </c>
      <c r="G56" s="145">
        <f t="shared" si="17"/>
        <v>10.184182015167931</v>
      </c>
      <c r="H56" s="146">
        <f t="shared" si="11"/>
        <v>4.0619589295950576</v>
      </c>
      <c r="I56" s="321"/>
      <c r="J56" s="11"/>
      <c r="K56" s="156">
        <v>0</v>
      </c>
      <c r="L56" s="140"/>
      <c r="M56" s="140"/>
      <c r="N56" s="141"/>
      <c r="O56" s="147"/>
      <c r="P56" s="315"/>
      <c r="Q56" s="149"/>
      <c r="R56" s="314">
        <v>0</v>
      </c>
      <c r="S56" s="143"/>
      <c r="T56" s="149"/>
      <c r="V56" s="332">
        <f>'App 1-Services'!H56</f>
        <v>1179</v>
      </c>
      <c r="W56" s="267">
        <v>1420</v>
      </c>
      <c r="X56" s="268">
        <v>0</v>
      </c>
      <c r="Y56" s="269">
        <v>0</v>
      </c>
      <c r="Z56" s="283">
        <v>0</v>
      </c>
      <c r="AB56" s="284">
        <f>'App 1-Services'!G56</f>
        <v>2956</v>
      </c>
      <c r="AC56" s="9">
        <f t="shared" si="12"/>
        <v>3560.2374893977949</v>
      </c>
      <c r="AD56" s="9">
        <f t="shared" si="13"/>
        <v>0</v>
      </c>
      <c r="AE56" s="9">
        <f t="shared" si="14"/>
        <v>0</v>
      </c>
      <c r="AF56" s="9">
        <f t="shared" si="15"/>
        <v>0</v>
      </c>
      <c r="AG56" s="280"/>
      <c r="AH56" s="147"/>
      <c r="AI56" s="266">
        <f t="shared" si="16"/>
        <v>0</v>
      </c>
    </row>
    <row r="57" spans="1:35" x14ac:dyDescent="0.2">
      <c r="A57" s="376">
        <v>13910</v>
      </c>
      <c r="B57" s="376" t="s">
        <v>148</v>
      </c>
      <c r="C57" s="376" t="s">
        <v>704</v>
      </c>
      <c r="D57" s="404" t="s">
        <v>2</v>
      </c>
      <c r="E57" s="141"/>
      <c r="F57" s="144">
        <v>3912</v>
      </c>
      <c r="G57" s="145">
        <f t="shared" si="17"/>
        <v>14.080248779855744</v>
      </c>
      <c r="H57" s="146">
        <f t="shared" si="11"/>
        <v>8.172519483448097</v>
      </c>
      <c r="I57" s="321"/>
      <c r="J57" s="11"/>
      <c r="K57" s="156">
        <v>1189</v>
      </c>
      <c r="L57" s="140">
        <f t="shared" ref="L57:L90" si="20">(K57*1000)/X57/52</f>
        <v>4.3363141694262497</v>
      </c>
      <c r="M57" s="140">
        <f t="shared" ref="M57:M90" si="21">(K57*1000)/AD57/52</f>
        <v>2.5169024063473371</v>
      </c>
      <c r="N57" s="141"/>
      <c r="O57" s="147">
        <v>700</v>
      </c>
      <c r="P57" s="315">
        <f>(O57*1000)/Y57/52</f>
        <v>3.7633599277434895</v>
      </c>
      <c r="Q57" s="149">
        <f>(O57*1000)/AE57/52</f>
        <v>2.1843458033719911</v>
      </c>
      <c r="R57" s="314">
        <v>228</v>
      </c>
      <c r="S57" s="143">
        <f>(R57*1000)/Z57/52</f>
        <v>4.4423661444938043</v>
      </c>
      <c r="T57" s="149">
        <f>(R57*1000)/AF57/52</f>
        <v>2.5784575568314483</v>
      </c>
      <c r="V57" s="332">
        <f>'App 1-Services'!H57</f>
        <v>11024</v>
      </c>
      <c r="W57" s="267">
        <v>5343</v>
      </c>
      <c r="X57" s="268">
        <v>5273</v>
      </c>
      <c r="Y57" s="269">
        <v>3577</v>
      </c>
      <c r="Z57" s="283">
        <v>987</v>
      </c>
      <c r="AB57" s="284">
        <f>'App 1-Services'!G57</f>
        <v>18993</v>
      </c>
      <c r="AC57" s="9">
        <f t="shared" si="12"/>
        <v>9205.3337264150941</v>
      </c>
      <c r="AD57" s="9">
        <f t="shared" si="13"/>
        <v>9084.7323113207549</v>
      </c>
      <c r="AE57" s="9">
        <f t="shared" si="14"/>
        <v>6162.7323113207549</v>
      </c>
      <c r="AF57" s="9">
        <f t="shared" si="15"/>
        <v>1700.4799528301885</v>
      </c>
      <c r="AG57" s="280">
        <v>1</v>
      </c>
      <c r="AH57" s="147">
        <v>1</v>
      </c>
      <c r="AI57" s="266">
        <f t="shared" si="16"/>
        <v>4564</v>
      </c>
    </row>
    <row r="58" spans="1:35" x14ac:dyDescent="0.2">
      <c r="A58" s="376">
        <v>14000</v>
      </c>
      <c r="B58" s="376" t="s">
        <v>191</v>
      </c>
      <c r="C58" s="376" t="s">
        <v>190</v>
      </c>
      <c r="D58" s="404" t="s">
        <v>4</v>
      </c>
      <c r="E58" s="148"/>
      <c r="F58" s="144">
        <v>33527.58</v>
      </c>
      <c r="G58" s="145">
        <f t="shared" si="17"/>
        <v>15.097671377468128</v>
      </c>
      <c r="H58" s="146">
        <f t="shared" si="11"/>
        <v>4.2612535319968288</v>
      </c>
      <c r="I58" s="321"/>
      <c r="J58" s="11"/>
      <c r="K58" s="156">
        <v>14101.53</v>
      </c>
      <c r="L58" s="140">
        <f t="shared" si="20"/>
        <v>6.3507475054628522</v>
      </c>
      <c r="M58" s="140">
        <f t="shared" si="21"/>
        <v>1.7924714720484225</v>
      </c>
      <c r="N58" s="148"/>
      <c r="O58" s="147">
        <v>19224.650000000001</v>
      </c>
      <c r="P58" s="315">
        <f>(O58*1000)/Y58/52</f>
        <v>9.427637579811492</v>
      </c>
      <c r="Q58" s="149">
        <f>(O58*1000)/AE58/52</f>
        <v>2.6609106087255987</v>
      </c>
      <c r="R58" s="314"/>
      <c r="S58" s="143"/>
      <c r="T58" s="149"/>
      <c r="V58" s="332">
        <f>'App 1-Services'!H58</f>
        <v>42686</v>
      </c>
      <c r="W58" s="267">
        <v>42706</v>
      </c>
      <c r="X58" s="268">
        <v>42701</v>
      </c>
      <c r="Y58" s="269">
        <v>39215</v>
      </c>
      <c r="Z58" s="283">
        <v>0</v>
      </c>
      <c r="AB58" s="284">
        <f>'App 1-Services'!G58</f>
        <v>151237</v>
      </c>
      <c r="AC58" s="9">
        <f t="shared" si="12"/>
        <v>151307.86023520594</v>
      </c>
      <c r="AD58" s="9">
        <f t="shared" si="13"/>
        <v>151290.14517640445</v>
      </c>
      <c r="AE58" s="9">
        <f t="shared" si="14"/>
        <v>138939.20618001217</v>
      </c>
      <c r="AF58" s="9">
        <f t="shared" si="15"/>
        <v>0</v>
      </c>
      <c r="AG58" s="280"/>
      <c r="AH58" s="147">
        <v>1</v>
      </c>
      <c r="AI58" s="266">
        <f t="shared" si="16"/>
        <v>39215</v>
      </c>
    </row>
    <row r="59" spans="1:35" x14ac:dyDescent="0.2">
      <c r="A59" s="376">
        <v>14100</v>
      </c>
      <c r="B59" s="376" t="s">
        <v>192</v>
      </c>
      <c r="C59" s="376" t="s">
        <v>190</v>
      </c>
      <c r="D59" s="404" t="s">
        <v>4</v>
      </c>
      <c r="E59" s="141"/>
      <c r="F59" s="144">
        <v>2852</v>
      </c>
      <c r="G59" s="145">
        <f t="shared" si="17"/>
        <v>12.459371614301192</v>
      </c>
      <c r="H59" s="146">
        <f t="shared" si="11"/>
        <v>4.1265425355995866</v>
      </c>
      <c r="I59" s="321"/>
      <c r="J59" s="11"/>
      <c r="K59" s="156">
        <v>1237</v>
      </c>
      <c r="L59" s="140">
        <f t="shared" si="20"/>
        <v>5.4812123360510459</v>
      </c>
      <c r="M59" s="140">
        <f t="shared" si="21"/>
        <v>1.81537693485326</v>
      </c>
      <c r="N59" s="141"/>
      <c r="O59" s="147">
        <v>1121</v>
      </c>
      <c r="P59" s="315">
        <f>(O59*1000)/Y59/52</f>
        <v>4.9672102091456924</v>
      </c>
      <c r="Q59" s="149">
        <f>(O59*1000)/AE59/52</f>
        <v>1.6451394858290256</v>
      </c>
      <c r="R59" s="314"/>
      <c r="S59" s="143"/>
      <c r="T59" s="149"/>
      <c r="V59" s="332">
        <f>'App 1-Services'!H59</f>
        <v>4916</v>
      </c>
      <c r="W59" s="267">
        <v>4402</v>
      </c>
      <c r="X59" s="268">
        <v>4340</v>
      </c>
      <c r="Y59" s="269">
        <v>4340</v>
      </c>
      <c r="Z59" s="283">
        <v>0</v>
      </c>
      <c r="AB59" s="284">
        <f>'App 1-Services'!G59</f>
        <v>14843</v>
      </c>
      <c r="AC59" s="9">
        <f t="shared" si="12"/>
        <v>13291.067127746133</v>
      </c>
      <c r="AD59" s="9">
        <f t="shared" si="13"/>
        <v>13103.86899918633</v>
      </c>
      <c r="AE59" s="9">
        <f t="shared" si="14"/>
        <v>13103.86899918633</v>
      </c>
      <c r="AF59" s="9">
        <f t="shared" si="15"/>
        <v>0</v>
      </c>
      <c r="AG59" s="280"/>
      <c r="AH59" s="147">
        <v>1</v>
      </c>
      <c r="AI59" s="266">
        <f t="shared" si="16"/>
        <v>4340</v>
      </c>
    </row>
    <row r="60" spans="1:35" x14ac:dyDescent="0.2">
      <c r="A60" s="376">
        <v>14170</v>
      </c>
      <c r="B60" s="376" t="s">
        <v>128</v>
      </c>
      <c r="C60" s="376" t="s">
        <v>127</v>
      </c>
      <c r="D60" s="404" t="s">
        <v>4</v>
      </c>
      <c r="E60" s="141"/>
      <c r="F60" s="144">
        <v>39786.449999999997</v>
      </c>
      <c r="G60" s="145">
        <f t="shared" si="17"/>
        <v>10.495096751320775</v>
      </c>
      <c r="H60" s="146">
        <f t="shared" si="11"/>
        <v>4.1198469745104314</v>
      </c>
      <c r="I60" s="321"/>
      <c r="J60" s="11"/>
      <c r="K60" s="156">
        <v>16474.36</v>
      </c>
      <c r="L60" s="140">
        <f t="shared" si="20"/>
        <v>4.3374901135610875</v>
      </c>
      <c r="M60" s="140">
        <f t="shared" si="21"/>
        <v>1.702680398737124</v>
      </c>
      <c r="N60" s="141"/>
      <c r="O60" s="147">
        <v>7012.45</v>
      </c>
      <c r="P60" s="315">
        <f>(O60*1000)/Y60/52</f>
        <v>5.5947065919477135</v>
      </c>
      <c r="Q60" s="149">
        <f>(O60*1000)/AE60/52</f>
        <v>2.1962003373821846</v>
      </c>
      <c r="R60" s="314">
        <f>198.96 + 121</f>
        <v>319.96000000000004</v>
      </c>
      <c r="S60" s="143">
        <f>(R60*1000)/Z60/52</f>
        <v>9.9564351506099094</v>
      </c>
      <c r="T60" s="149">
        <f>(R60*1000)/AF60/52</f>
        <v>3.9083955302258104</v>
      </c>
      <c r="V60" s="332">
        <f>'App 1-Services'!H60</f>
        <v>74418</v>
      </c>
      <c r="W60" s="267">
        <v>72903</v>
      </c>
      <c r="X60" s="268">
        <v>73041</v>
      </c>
      <c r="Y60" s="269">
        <v>24104</v>
      </c>
      <c r="Z60" s="283">
        <v>618</v>
      </c>
      <c r="AB60" s="284">
        <f>'App 1-Services'!G60</f>
        <v>189576</v>
      </c>
      <c r="AC60" s="9">
        <f t="shared" si="12"/>
        <v>185716.61598000483</v>
      </c>
      <c r="AD60" s="9">
        <f t="shared" si="13"/>
        <v>186068.16383133113</v>
      </c>
      <c r="AE60" s="9">
        <f t="shared" si="14"/>
        <v>61403.691364992337</v>
      </c>
      <c r="AF60" s="9">
        <f t="shared" si="15"/>
        <v>1574.3229863742642</v>
      </c>
      <c r="AG60" s="280">
        <v>1</v>
      </c>
      <c r="AH60" s="147">
        <v>1</v>
      </c>
      <c r="AI60" s="266">
        <f t="shared" si="16"/>
        <v>24722</v>
      </c>
    </row>
    <row r="61" spans="1:35" x14ac:dyDescent="0.2">
      <c r="A61" s="376">
        <v>14200</v>
      </c>
      <c r="B61" s="376" t="s">
        <v>194</v>
      </c>
      <c r="C61" s="376" t="s">
        <v>125</v>
      </c>
      <c r="D61" s="404" t="s">
        <v>2</v>
      </c>
      <c r="E61" s="141"/>
      <c r="F61" s="144">
        <v>5000</v>
      </c>
      <c r="G61" s="145">
        <f t="shared" si="17"/>
        <v>14.515979189892233</v>
      </c>
      <c r="H61" s="146">
        <f t="shared" si="11"/>
        <v>5.7614178641257521</v>
      </c>
      <c r="I61" s="321"/>
      <c r="J61" s="11"/>
      <c r="K61" s="156">
        <v>4000</v>
      </c>
      <c r="L61" s="140">
        <f t="shared" si="20"/>
        <v>16.485871608031918</v>
      </c>
      <c r="M61" s="140">
        <f t="shared" si="21"/>
        <v>6.5432716557169277</v>
      </c>
      <c r="N61" s="141"/>
      <c r="O61" s="147"/>
      <c r="P61" s="315"/>
      <c r="Q61" s="149"/>
      <c r="R61" s="314"/>
      <c r="S61" s="143"/>
      <c r="T61" s="149"/>
      <c r="V61" s="332">
        <f>'App 1-Services'!H61</f>
        <v>6764</v>
      </c>
      <c r="W61" s="267">
        <v>6624</v>
      </c>
      <c r="X61" s="268">
        <v>4666</v>
      </c>
      <c r="Y61" s="269">
        <v>0</v>
      </c>
      <c r="Z61" s="283">
        <v>0</v>
      </c>
      <c r="AB61" s="284">
        <f>'App 1-Services'!G61</f>
        <v>17042</v>
      </c>
      <c r="AC61" s="9">
        <f t="shared" si="12"/>
        <v>16689.267888823182</v>
      </c>
      <c r="AD61" s="9">
        <f t="shared" si="13"/>
        <v>11756.057362507392</v>
      </c>
      <c r="AE61" s="9">
        <f t="shared" si="14"/>
        <v>0</v>
      </c>
      <c r="AF61" s="9">
        <f t="shared" si="15"/>
        <v>0</v>
      </c>
      <c r="AG61" s="280"/>
      <c r="AH61" s="147"/>
      <c r="AI61" s="266">
        <f t="shared" si="16"/>
        <v>0</v>
      </c>
    </row>
    <row r="62" spans="1:35" x14ac:dyDescent="0.2">
      <c r="A62" s="376">
        <v>14300</v>
      </c>
      <c r="B62" s="376" t="s">
        <v>196</v>
      </c>
      <c r="C62" s="376" t="s">
        <v>142</v>
      </c>
      <c r="D62" s="404" t="s">
        <v>2</v>
      </c>
      <c r="E62" s="141"/>
      <c r="F62" s="144">
        <v>902</v>
      </c>
      <c r="G62" s="145">
        <f t="shared" si="17"/>
        <v>9.9690539345711766</v>
      </c>
      <c r="H62" s="146">
        <f t="shared" si="11"/>
        <v>3.0148158051460312</v>
      </c>
      <c r="I62" s="321"/>
      <c r="J62" s="11"/>
      <c r="K62" s="156">
        <v>422</v>
      </c>
      <c r="L62" s="140">
        <f t="shared" si="20"/>
        <v>4.6640141467727672</v>
      </c>
      <c r="M62" s="140">
        <f t="shared" si="21"/>
        <v>1.4104792347800723</v>
      </c>
      <c r="N62" s="141"/>
      <c r="O62" s="147"/>
      <c r="P62" s="315"/>
      <c r="Q62" s="149"/>
      <c r="R62" s="314">
        <v>70</v>
      </c>
      <c r="S62" s="143">
        <f>(R62*1000)/Z62/52</f>
        <v>0.77365163572060125</v>
      </c>
      <c r="T62" s="149">
        <f>(R62*1000)/AF62/52</f>
        <v>0.23396574984503568</v>
      </c>
      <c r="V62" s="332">
        <f>'App 1-Services'!H62</f>
        <v>1914</v>
      </c>
      <c r="W62" s="267">
        <v>1740</v>
      </c>
      <c r="X62" s="268">
        <v>1740</v>
      </c>
      <c r="Y62" s="269">
        <v>0</v>
      </c>
      <c r="Z62" s="283">
        <v>1740</v>
      </c>
      <c r="AB62" s="284">
        <f>'App 1-Services'!G62</f>
        <v>6329</v>
      </c>
      <c r="AC62" s="9">
        <f t="shared" si="12"/>
        <v>5753.6363636363631</v>
      </c>
      <c r="AD62" s="9">
        <f t="shared" si="13"/>
        <v>5753.6363636363631</v>
      </c>
      <c r="AE62" s="9">
        <f t="shared" si="14"/>
        <v>0</v>
      </c>
      <c r="AF62" s="9">
        <f t="shared" si="15"/>
        <v>5753.6363636363631</v>
      </c>
      <c r="AG62" s="280">
        <v>1</v>
      </c>
      <c r="AH62" s="147"/>
      <c r="AI62" s="266">
        <f t="shared" si="16"/>
        <v>1740</v>
      </c>
    </row>
    <row r="63" spans="1:35" x14ac:dyDescent="0.2">
      <c r="A63" s="376">
        <v>14350</v>
      </c>
      <c r="B63" s="376" t="s">
        <v>197</v>
      </c>
      <c r="C63" s="376" t="s">
        <v>294</v>
      </c>
      <c r="D63" s="404" t="s">
        <v>5</v>
      </c>
      <c r="E63" s="148"/>
      <c r="F63" s="144">
        <v>6125.65</v>
      </c>
      <c r="G63" s="145">
        <f t="shared" si="17"/>
        <v>9.9234235985562762</v>
      </c>
      <c r="H63" s="146">
        <f t="shared" si="11"/>
        <v>4.3159344174539873</v>
      </c>
      <c r="I63" s="321"/>
      <c r="J63" s="11"/>
      <c r="K63" s="156">
        <v>2893.76</v>
      </c>
      <c r="L63" s="140">
        <f t="shared" si="20"/>
        <v>4.6957413525635614</v>
      </c>
      <c r="M63" s="140">
        <f t="shared" si="21"/>
        <v>2.0422902960566471</v>
      </c>
      <c r="N63" s="148"/>
      <c r="O63" s="147"/>
      <c r="P63" s="315"/>
      <c r="Q63" s="149"/>
      <c r="R63" s="314">
        <v>2130.4</v>
      </c>
      <c r="S63" s="143">
        <f>(R63*1000)/Z63/52</f>
        <v>5.2904481881754606</v>
      </c>
      <c r="T63" s="149">
        <f>(R63*1000)/AF63/52</f>
        <v>2.3009425318118528</v>
      </c>
      <c r="V63" s="332">
        <f>'App 1-Services'!H63</f>
        <v>12979</v>
      </c>
      <c r="W63" s="267">
        <v>11871</v>
      </c>
      <c r="X63" s="268">
        <v>11851</v>
      </c>
      <c r="Y63" s="269">
        <v>0</v>
      </c>
      <c r="Z63" s="283">
        <v>7744</v>
      </c>
      <c r="AB63" s="284">
        <f>'App 1-Services'!G63</f>
        <v>29842</v>
      </c>
      <c r="AC63" s="9">
        <f t="shared" si="12"/>
        <v>27294.428076122967</v>
      </c>
      <c r="AD63" s="9">
        <f t="shared" si="13"/>
        <v>27248.443023345404</v>
      </c>
      <c r="AE63" s="9">
        <f t="shared" si="14"/>
        <v>0</v>
      </c>
      <c r="AF63" s="9">
        <f t="shared" si="15"/>
        <v>17805.412435472685</v>
      </c>
      <c r="AG63" s="280">
        <v>1</v>
      </c>
      <c r="AH63" s="147"/>
      <c r="AI63" s="266">
        <f t="shared" si="16"/>
        <v>7744</v>
      </c>
    </row>
    <row r="64" spans="1:35" x14ac:dyDescent="0.2">
      <c r="A64" s="376">
        <v>14400</v>
      </c>
      <c r="B64" s="376" t="s">
        <v>198</v>
      </c>
      <c r="C64" s="376" t="s">
        <v>291</v>
      </c>
      <c r="D64" s="404" t="s">
        <v>3</v>
      </c>
      <c r="E64" s="141"/>
      <c r="F64" s="144">
        <v>2658.52</v>
      </c>
      <c r="G64" s="145">
        <f t="shared" si="17"/>
        <v>5.7612558728177383</v>
      </c>
      <c r="H64" s="146">
        <f t="shared" si="11"/>
        <v>2.6585094701756904</v>
      </c>
      <c r="I64" s="321"/>
      <c r="J64" s="11"/>
      <c r="K64" s="156">
        <v>2840.07</v>
      </c>
      <c r="L64" s="140">
        <f t="shared" si="20"/>
        <v>5.824542046414714</v>
      </c>
      <c r="M64" s="140">
        <f t="shared" si="21"/>
        <v>2.6877126327417806</v>
      </c>
      <c r="N64" s="141"/>
      <c r="O64" s="147"/>
      <c r="P64" s="315"/>
      <c r="Q64" s="149"/>
      <c r="R64" s="314">
        <v>4385.6099999999997</v>
      </c>
      <c r="S64" s="143">
        <f>(R64*1000)/Z64/52</f>
        <v>9.5040177874863474</v>
      </c>
      <c r="T64" s="149">
        <f>(R64*1000)/AF64/52</f>
        <v>4.3855926295447132</v>
      </c>
      <c r="V64" s="332">
        <f>'App 1-Services'!H64</f>
        <v>10000</v>
      </c>
      <c r="W64" s="267">
        <v>8874</v>
      </c>
      <c r="X64" s="268">
        <v>9377</v>
      </c>
      <c r="Y64" s="269">
        <v>0</v>
      </c>
      <c r="Z64" s="283">
        <v>8874</v>
      </c>
      <c r="AB64" s="284">
        <f>'App 1-Services'!G64</f>
        <v>21671</v>
      </c>
      <c r="AC64" s="9">
        <f t="shared" si="12"/>
        <v>19230.845399999998</v>
      </c>
      <c r="AD64" s="9">
        <f t="shared" si="13"/>
        <v>20320.896700000001</v>
      </c>
      <c r="AE64" s="9">
        <f t="shared" si="14"/>
        <v>0</v>
      </c>
      <c r="AF64" s="9">
        <f t="shared" si="15"/>
        <v>19230.845399999998</v>
      </c>
      <c r="AG64" s="280">
        <v>1</v>
      </c>
      <c r="AH64" s="147"/>
      <c r="AI64" s="266">
        <f t="shared" si="16"/>
        <v>8874</v>
      </c>
    </row>
    <row r="65" spans="1:35" x14ac:dyDescent="0.2">
      <c r="A65" s="376">
        <v>14500</v>
      </c>
      <c r="B65" s="376" t="s">
        <v>199</v>
      </c>
      <c r="C65" s="376" t="s">
        <v>190</v>
      </c>
      <c r="D65" s="404" t="s">
        <v>4</v>
      </c>
      <c r="E65" s="141"/>
      <c r="F65" s="144">
        <v>22352.63</v>
      </c>
      <c r="G65" s="145">
        <f t="shared" si="17"/>
        <v>10.027018176598302</v>
      </c>
      <c r="H65" s="146">
        <f t="shared" si="11"/>
        <v>3.3609918310078819</v>
      </c>
      <c r="I65" s="321"/>
      <c r="J65" s="11"/>
      <c r="K65" s="156">
        <v>12281.34</v>
      </c>
      <c r="L65" s="140">
        <f t="shared" si="20"/>
        <v>5.5092049308284441</v>
      </c>
      <c r="M65" s="140">
        <f t="shared" si="21"/>
        <v>1.8466499652985058</v>
      </c>
      <c r="N65" s="141"/>
      <c r="O65" s="147">
        <v>19349.13</v>
      </c>
      <c r="P65" s="315">
        <f>(O65*1000)/Y65/52</f>
        <v>10.513637371331201</v>
      </c>
      <c r="Q65" s="149">
        <f>(O65*1000)/AE65/52</f>
        <v>3.524103446994177</v>
      </c>
      <c r="R65" s="314"/>
      <c r="S65" s="143"/>
      <c r="T65" s="149"/>
      <c r="V65" s="332">
        <f>'App 1-Services'!H65</f>
        <v>41624</v>
      </c>
      <c r="W65" s="267">
        <v>42870</v>
      </c>
      <c r="X65" s="268">
        <v>42870</v>
      </c>
      <c r="Y65" s="269">
        <v>35392</v>
      </c>
      <c r="Z65" s="283">
        <v>0</v>
      </c>
      <c r="AB65" s="284">
        <f>'App 1-Services'!G65</f>
        <v>124179</v>
      </c>
      <c r="AC65" s="9">
        <f t="shared" si="12"/>
        <v>127896.25528541226</v>
      </c>
      <c r="AD65" s="9">
        <f t="shared" si="13"/>
        <v>127896.25528541226</v>
      </c>
      <c r="AE65" s="9">
        <f t="shared" si="14"/>
        <v>105586.75687103593</v>
      </c>
      <c r="AF65" s="9">
        <f t="shared" si="15"/>
        <v>0</v>
      </c>
      <c r="AG65" s="280"/>
      <c r="AH65" s="147">
        <v>1</v>
      </c>
      <c r="AI65" s="266">
        <f t="shared" si="16"/>
        <v>35392</v>
      </c>
    </row>
    <row r="66" spans="1:35" x14ac:dyDescent="0.2">
      <c r="A66" s="376">
        <v>14550</v>
      </c>
      <c r="B66" s="376" t="s">
        <v>200</v>
      </c>
      <c r="C66" s="376" t="s">
        <v>131</v>
      </c>
      <c r="D66" s="404" t="s">
        <v>5</v>
      </c>
      <c r="E66" s="141"/>
      <c r="F66" s="144">
        <v>1017.75</v>
      </c>
      <c r="G66" s="145">
        <f t="shared" si="17"/>
        <v>9.7083905677655675</v>
      </c>
      <c r="H66" s="146">
        <f t="shared" si="11"/>
        <v>4.0921344438852563</v>
      </c>
      <c r="I66" s="321"/>
      <c r="J66" s="11"/>
      <c r="K66" s="156">
        <v>439.03</v>
      </c>
      <c r="L66" s="140">
        <f t="shared" si="20"/>
        <v>4.1879387973137971</v>
      </c>
      <c r="M66" s="140">
        <f t="shared" si="21"/>
        <v>1.7652368311461009</v>
      </c>
      <c r="N66" s="141"/>
      <c r="O66" s="147"/>
      <c r="P66" s="315"/>
      <c r="Q66" s="149"/>
      <c r="R66" s="314"/>
      <c r="S66" s="143"/>
      <c r="T66" s="149"/>
      <c r="V66" s="332">
        <f>'App 1-Services'!H66</f>
        <v>4022</v>
      </c>
      <c r="W66" s="267">
        <v>2016</v>
      </c>
      <c r="X66" s="268">
        <v>2016</v>
      </c>
      <c r="Y66" s="269">
        <v>0</v>
      </c>
      <c r="Z66" s="283">
        <v>0</v>
      </c>
      <c r="AB66" s="284">
        <f>'App 1-Services'!G66</f>
        <v>9542</v>
      </c>
      <c r="AC66" s="9">
        <f t="shared" si="12"/>
        <v>4782.8622575832915</v>
      </c>
      <c r="AD66" s="9">
        <f t="shared" si="13"/>
        <v>4782.8622575832915</v>
      </c>
      <c r="AE66" s="9">
        <f t="shared" si="14"/>
        <v>0</v>
      </c>
      <c r="AF66" s="9">
        <f t="shared" si="15"/>
        <v>0</v>
      </c>
      <c r="AG66" s="280"/>
      <c r="AH66" s="147"/>
      <c r="AI66" s="266">
        <f t="shared" si="16"/>
        <v>0</v>
      </c>
    </row>
    <row r="67" spans="1:35" x14ac:dyDescent="0.2">
      <c r="A67" s="376">
        <v>14600</v>
      </c>
      <c r="B67" s="376" t="s">
        <v>201</v>
      </c>
      <c r="C67" s="376" t="s">
        <v>293</v>
      </c>
      <c r="D67" s="404" t="s">
        <v>2</v>
      </c>
      <c r="E67" s="141"/>
      <c r="F67" s="144">
        <v>1791</v>
      </c>
      <c r="G67" s="145">
        <f t="shared" si="17"/>
        <v>13.0118276132632</v>
      </c>
      <c r="H67" s="146">
        <f t="shared" si="11"/>
        <v>8.0280412181994318</v>
      </c>
      <c r="I67" s="321"/>
      <c r="J67" s="11"/>
      <c r="K67" s="156">
        <v>58</v>
      </c>
      <c r="L67" s="140">
        <f t="shared" si="20"/>
        <v>0.42588186918083826</v>
      </c>
      <c r="M67" s="140">
        <f t="shared" si="21"/>
        <v>0.2627607205910521</v>
      </c>
      <c r="N67" s="141"/>
      <c r="O67" s="147">
        <v>225</v>
      </c>
      <c r="P67" s="315">
        <f>(O67*1000)/Y67/52</f>
        <v>3.4016690856313496</v>
      </c>
      <c r="Q67" s="149">
        <f>(O67*1000)/AE67/52</f>
        <v>2.0987627904236095</v>
      </c>
      <c r="R67" s="314"/>
      <c r="S67" s="143"/>
      <c r="T67" s="149"/>
      <c r="V67" s="332">
        <f>'App 1-Services'!H67</f>
        <v>4164</v>
      </c>
      <c r="W67" s="267">
        <v>2647</v>
      </c>
      <c r="X67" s="268">
        <v>2619</v>
      </c>
      <c r="Y67" s="269">
        <v>1272</v>
      </c>
      <c r="Z67" s="283">
        <v>0</v>
      </c>
      <c r="AB67" s="284">
        <f>'App 1-Services'!G67</f>
        <v>6749</v>
      </c>
      <c r="AC67" s="9">
        <f t="shared" si="12"/>
        <v>4290.2504803073971</v>
      </c>
      <c r="AD67" s="9">
        <f t="shared" si="13"/>
        <v>4244.8681556195961</v>
      </c>
      <c r="AE67" s="9">
        <f t="shared" si="14"/>
        <v>2061.6541786743514</v>
      </c>
      <c r="AF67" s="9">
        <f t="shared" si="15"/>
        <v>0</v>
      </c>
      <c r="AG67" s="280"/>
      <c r="AH67" s="147">
        <v>1</v>
      </c>
      <c r="AI67" s="266">
        <f t="shared" si="16"/>
        <v>1272</v>
      </c>
    </row>
    <row r="68" spans="1:35" x14ac:dyDescent="0.2">
      <c r="A68" s="376">
        <v>14650</v>
      </c>
      <c r="B68" s="376" t="s">
        <v>202</v>
      </c>
      <c r="C68" s="376" t="s">
        <v>163</v>
      </c>
      <c r="D68" s="404" t="s">
        <v>3</v>
      </c>
      <c r="E68" s="141"/>
      <c r="F68" s="144">
        <v>53161</v>
      </c>
      <c r="G68" s="145">
        <f t="shared" si="17"/>
        <v>13.261644632527638</v>
      </c>
      <c r="H68" s="146">
        <f t="shared" si="11"/>
        <v>5.0105977642494759</v>
      </c>
      <c r="I68" s="321"/>
      <c r="J68" s="11"/>
      <c r="K68" s="156">
        <v>19236</v>
      </c>
      <c r="L68" s="140">
        <f t="shared" si="20"/>
        <v>4.8698438287969896</v>
      </c>
      <c r="M68" s="140">
        <f t="shared" si="21"/>
        <v>1.8399549435192155</v>
      </c>
      <c r="N68" s="141"/>
      <c r="O68" s="147">
        <v>21149</v>
      </c>
      <c r="P68" s="315">
        <f>(O68*1000)/Y68/52</f>
        <v>5.3541446836778714</v>
      </c>
      <c r="Q68" s="149">
        <f>(O68*1000)/AE68/52</f>
        <v>2.0229365304890772</v>
      </c>
      <c r="R68" s="314"/>
      <c r="S68" s="143"/>
      <c r="T68" s="149"/>
      <c r="V68" s="332">
        <f>'App 1-Services'!H68</f>
        <v>77737</v>
      </c>
      <c r="W68" s="267">
        <v>77089</v>
      </c>
      <c r="X68" s="268">
        <v>75962</v>
      </c>
      <c r="Y68" s="269">
        <v>75962</v>
      </c>
      <c r="Z68" s="283">
        <v>0</v>
      </c>
      <c r="AB68" s="284">
        <f>'App 1-Services'!G68</f>
        <v>205748</v>
      </c>
      <c r="AC68" s="9">
        <f t="shared" si="12"/>
        <v>204032.92604551243</v>
      </c>
      <c r="AD68" s="9">
        <f t="shared" si="13"/>
        <v>201050.07365861817</v>
      </c>
      <c r="AE68" s="9">
        <f t="shared" si="14"/>
        <v>201050.07365861817</v>
      </c>
      <c r="AF68" s="9">
        <f t="shared" si="15"/>
        <v>0</v>
      </c>
      <c r="AG68" s="280"/>
      <c r="AH68" s="147">
        <v>1</v>
      </c>
      <c r="AI68" s="266">
        <f t="shared" si="16"/>
        <v>75962</v>
      </c>
    </row>
    <row r="69" spans="1:35" x14ac:dyDescent="0.2">
      <c r="A69" s="376">
        <v>14700</v>
      </c>
      <c r="B69" s="376" t="s">
        <v>203</v>
      </c>
      <c r="C69" s="376" t="s">
        <v>190</v>
      </c>
      <c r="D69" s="404" t="s">
        <v>4</v>
      </c>
      <c r="E69" s="141"/>
      <c r="F69" s="144">
        <v>6863</v>
      </c>
      <c r="G69" s="145">
        <f t="shared" ref="G69:G100" si="22">(F69*1000)/W69/52</f>
        <v>12.130585407239819</v>
      </c>
      <c r="H69" s="146">
        <f t="shared" ref="H69:H100" si="23">(F69*1000)/AC69/52</f>
        <v>5.2272081458054167</v>
      </c>
      <c r="I69" s="321"/>
      <c r="J69" s="11"/>
      <c r="K69" s="156">
        <v>2943</v>
      </c>
      <c r="L69" s="140">
        <f t="shared" si="20"/>
        <v>3.550128832402073</v>
      </c>
      <c r="M69" s="140">
        <f t="shared" si="21"/>
        <v>1.5297911624541529</v>
      </c>
      <c r="N69" s="141"/>
      <c r="O69" s="147">
        <v>2950</v>
      </c>
      <c r="P69" s="315">
        <f>(O69*1000)/Y69/52</f>
        <v>4.2160203054971186</v>
      </c>
      <c r="Q69" s="149">
        <f>(O69*1000)/AE69/52</f>
        <v>1.8167314225925795</v>
      </c>
      <c r="R69" s="314"/>
      <c r="S69" s="143"/>
      <c r="T69" s="149"/>
      <c r="V69" s="332">
        <f>'App 1-Services'!H69</f>
        <v>15942</v>
      </c>
      <c r="W69" s="267">
        <v>10880</v>
      </c>
      <c r="X69" s="268">
        <v>15942</v>
      </c>
      <c r="Y69" s="269">
        <v>13456</v>
      </c>
      <c r="Z69" s="283">
        <v>0</v>
      </c>
      <c r="AB69" s="284">
        <f>'App 1-Services'!G69</f>
        <v>36996</v>
      </c>
      <c r="AC69" s="9">
        <f t="shared" ref="AC69:AC100" si="24">(W69/$V69)*$AB69</f>
        <v>25248.806925103498</v>
      </c>
      <c r="AD69" s="9">
        <f t="shared" ref="AD69:AD100" si="25">(X69/$V69)*$AB69</f>
        <v>36996</v>
      </c>
      <c r="AE69" s="9">
        <f t="shared" ref="AE69:AE100" si="26">(Y69/$V69)*$AB69</f>
        <v>31226.833270605948</v>
      </c>
      <c r="AF69" s="9">
        <f t="shared" ref="AF69:AF100" si="27">(Z69/$V69)*$AB69</f>
        <v>0</v>
      </c>
      <c r="AG69" s="280"/>
      <c r="AH69" s="147">
        <v>1</v>
      </c>
      <c r="AI69" s="266">
        <f t="shared" ref="AI69:AI100" si="28">Y69+Z69</f>
        <v>13456</v>
      </c>
    </row>
    <row r="70" spans="1:35" x14ac:dyDescent="0.2">
      <c r="A70" s="376">
        <v>14750</v>
      </c>
      <c r="B70" s="376" t="s">
        <v>204</v>
      </c>
      <c r="C70" s="376" t="s">
        <v>705</v>
      </c>
      <c r="D70" s="404" t="s">
        <v>2</v>
      </c>
      <c r="E70" s="141"/>
      <c r="F70" s="153">
        <v>1752.33</v>
      </c>
      <c r="G70" s="145">
        <f t="shared" si="22"/>
        <v>8.1476435798244307</v>
      </c>
      <c r="H70" s="146">
        <f t="shared" si="23"/>
        <v>2.6511842283735407</v>
      </c>
      <c r="I70" s="321"/>
      <c r="J70" s="11"/>
      <c r="K70" s="295">
        <v>642</v>
      </c>
      <c r="L70" s="140">
        <f t="shared" si="20"/>
        <v>3.0567352924371987</v>
      </c>
      <c r="M70" s="140">
        <f t="shared" si="21"/>
        <v>0.99463953205926958</v>
      </c>
      <c r="N70" s="141"/>
      <c r="O70" s="147"/>
      <c r="P70" s="315"/>
      <c r="Q70" s="149"/>
      <c r="R70" s="314"/>
      <c r="S70" s="143"/>
      <c r="T70" s="149"/>
      <c r="V70" s="332">
        <f>'App 1-Services'!H70</f>
        <v>3811</v>
      </c>
      <c r="W70" s="267">
        <v>4136</v>
      </c>
      <c r="X70" s="268">
        <v>4039</v>
      </c>
      <c r="Y70" s="269">
        <v>0</v>
      </c>
      <c r="Z70" s="283">
        <v>0</v>
      </c>
      <c r="AB70" s="284">
        <f>'App 1-Services'!G70</f>
        <v>11712</v>
      </c>
      <c r="AC70" s="9">
        <f t="shared" si="24"/>
        <v>12710.792967725005</v>
      </c>
      <c r="AD70" s="9">
        <f t="shared" si="25"/>
        <v>12412.691681973234</v>
      </c>
      <c r="AE70" s="9">
        <f t="shared" si="26"/>
        <v>0</v>
      </c>
      <c r="AF70" s="9">
        <f t="shared" si="27"/>
        <v>0</v>
      </c>
      <c r="AG70" s="280"/>
      <c r="AH70" s="147"/>
      <c r="AI70" s="266">
        <f t="shared" si="28"/>
        <v>0</v>
      </c>
    </row>
    <row r="71" spans="1:35" x14ac:dyDescent="0.2">
      <c r="A71" s="376">
        <v>14850</v>
      </c>
      <c r="B71" s="376" t="s">
        <v>205</v>
      </c>
      <c r="C71" s="376" t="s">
        <v>131</v>
      </c>
      <c r="D71" s="404" t="s">
        <v>5</v>
      </c>
      <c r="E71" s="141"/>
      <c r="F71" s="144">
        <v>5120</v>
      </c>
      <c r="G71" s="145">
        <f t="shared" si="22"/>
        <v>6.6631615660511914</v>
      </c>
      <c r="H71" s="146">
        <f t="shared" si="23"/>
        <v>2.3982227991161511</v>
      </c>
      <c r="I71" s="321"/>
      <c r="J71" s="277"/>
      <c r="K71" s="156">
        <v>5285</v>
      </c>
      <c r="L71" s="140">
        <f t="shared" si="20"/>
        <v>6.8778923587071388</v>
      </c>
      <c r="M71" s="140">
        <f t="shared" si="21"/>
        <v>2.4755092760407931</v>
      </c>
      <c r="N71" s="141"/>
      <c r="O71" s="147"/>
      <c r="P71" s="315"/>
      <c r="Q71" s="149"/>
      <c r="R71" s="314">
        <v>6199</v>
      </c>
      <c r="S71" s="143">
        <f>(R71*1000)/Z71/52</f>
        <v>9.3993170749458699</v>
      </c>
      <c r="T71" s="149">
        <f>(R71*1000)/AF71/52</f>
        <v>3.3830271533721561</v>
      </c>
      <c r="V71" s="332">
        <f>'App 1-Services'!H71</f>
        <v>16194</v>
      </c>
      <c r="W71" s="267">
        <v>14777</v>
      </c>
      <c r="X71" s="268">
        <v>14777</v>
      </c>
      <c r="Y71" s="269">
        <v>0</v>
      </c>
      <c r="Z71" s="283">
        <v>12683</v>
      </c>
      <c r="AB71" s="284">
        <f>'App 1-Services'!G71</f>
        <v>44993</v>
      </c>
      <c r="AC71" s="9">
        <f t="shared" si="24"/>
        <v>41056.043040632336</v>
      </c>
      <c r="AD71" s="9">
        <f t="shared" si="25"/>
        <v>41056.043040632336</v>
      </c>
      <c r="AE71" s="9">
        <f t="shared" si="26"/>
        <v>0</v>
      </c>
      <c r="AF71" s="9">
        <f t="shared" si="27"/>
        <v>35238.1264048413</v>
      </c>
      <c r="AG71" s="280">
        <v>1</v>
      </c>
      <c r="AH71" s="147"/>
      <c r="AI71" s="266">
        <f t="shared" si="28"/>
        <v>12683</v>
      </c>
    </row>
    <row r="72" spans="1:35" x14ac:dyDescent="0.2">
      <c r="A72" s="376">
        <v>14870</v>
      </c>
      <c r="B72" s="376" t="s">
        <v>206</v>
      </c>
      <c r="C72" s="376" t="s">
        <v>293</v>
      </c>
      <c r="D72" s="404" t="s">
        <v>2</v>
      </c>
      <c r="E72" s="141"/>
      <c r="F72" s="144">
        <v>5479</v>
      </c>
      <c r="G72" s="145">
        <f t="shared" si="22"/>
        <v>11.509053480653698</v>
      </c>
      <c r="H72" s="146">
        <f t="shared" si="23"/>
        <v>6.0766344585848771</v>
      </c>
      <c r="I72" s="321"/>
      <c r="J72" s="11"/>
      <c r="K72" s="156">
        <v>1453</v>
      </c>
      <c r="L72" s="140">
        <f t="shared" si="20"/>
        <v>3.0538041193778898</v>
      </c>
      <c r="M72" s="140">
        <f t="shared" si="21"/>
        <v>1.6123698940815179</v>
      </c>
      <c r="N72" s="141"/>
      <c r="O72" s="147"/>
      <c r="P72" s="315"/>
      <c r="Q72" s="149"/>
      <c r="R72" s="314"/>
      <c r="S72" s="143"/>
      <c r="T72" s="149"/>
      <c r="V72" s="332">
        <f>'App 1-Services'!H72</f>
        <v>11338</v>
      </c>
      <c r="W72" s="267">
        <v>9155</v>
      </c>
      <c r="X72" s="268">
        <v>9150</v>
      </c>
      <c r="Y72" s="269">
        <v>0</v>
      </c>
      <c r="Z72" s="283">
        <v>0</v>
      </c>
      <c r="AB72" s="284">
        <f>'App 1-Services'!G72</f>
        <v>21474</v>
      </c>
      <c r="AC72" s="9">
        <f t="shared" si="24"/>
        <v>17339.431116599048</v>
      </c>
      <c r="AD72" s="9">
        <f t="shared" si="25"/>
        <v>17329.961192450166</v>
      </c>
      <c r="AE72" s="9">
        <f t="shared" si="26"/>
        <v>0</v>
      </c>
      <c r="AF72" s="9">
        <f t="shared" si="27"/>
        <v>0</v>
      </c>
      <c r="AG72" s="280"/>
      <c r="AH72" s="147"/>
      <c r="AI72" s="266">
        <f t="shared" si="28"/>
        <v>0</v>
      </c>
    </row>
    <row r="73" spans="1:35" x14ac:dyDescent="0.2">
      <c r="A73" s="376">
        <v>14900</v>
      </c>
      <c r="B73" s="376" t="s">
        <v>207</v>
      </c>
      <c r="C73" s="376" t="s">
        <v>129</v>
      </c>
      <c r="D73" s="404" t="s">
        <v>4</v>
      </c>
      <c r="E73" s="141"/>
      <c r="F73" s="144">
        <v>46780</v>
      </c>
      <c r="G73" s="145">
        <f t="shared" si="22"/>
        <v>14.059785646876371</v>
      </c>
      <c r="H73" s="146">
        <f t="shared" si="23"/>
        <v>4.2772963040553638</v>
      </c>
      <c r="I73" s="321"/>
      <c r="J73" s="11"/>
      <c r="K73" s="156">
        <v>16503</v>
      </c>
      <c r="L73" s="140">
        <f t="shared" si="20"/>
        <v>5.0341098078356774</v>
      </c>
      <c r="M73" s="140">
        <f t="shared" si="21"/>
        <v>1.531487023776084</v>
      </c>
      <c r="N73" s="141"/>
      <c r="O73" s="147">
        <v>16091</v>
      </c>
      <c r="P73" s="315">
        <f>(O73*1000)/Y73/52</f>
        <v>5.8745573363513568</v>
      </c>
      <c r="Q73" s="149">
        <f>(O73*1000)/AE73/52</f>
        <v>1.7871696634521188</v>
      </c>
      <c r="R73" s="314"/>
      <c r="S73" s="143"/>
      <c r="T73" s="149"/>
      <c r="V73" s="332">
        <f>'App 1-Services'!H73</f>
        <v>63921</v>
      </c>
      <c r="W73" s="267">
        <v>63985</v>
      </c>
      <c r="X73" s="268">
        <v>63043</v>
      </c>
      <c r="Y73" s="269">
        <v>52675</v>
      </c>
      <c r="Z73" s="283">
        <v>0</v>
      </c>
      <c r="AB73" s="284">
        <f>'App 1-Services'!G73</f>
        <v>210113</v>
      </c>
      <c r="AC73" s="9">
        <f t="shared" si="24"/>
        <v>210323.37267877534</v>
      </c>
      <c r="AD73" s="9">
        <f t="shared" si="25"/>
        <v>207226.94981305048</v>
      </c>
      <c r="AE73" s="9">
        <f t="shared" si="26"/>
        <v>173146.57585144162</v>
      </c>
      <c r="AF73" s="9">
        <f t="shared" si="27"/>
        <v>0</v>
      </c>
      <c r="AG73" s="280"/>
      <c r="AH73" s="147">
        <v>1</v>
      </c>
      <c r="AI73" s="266">
        <f t="shared" si="28"/>
        <v>52675</v>
      </c>
    </row>
    <row r="74" spans="1:35" x14ac:dyDescent="0.2">
      <c r="A74" s="376">
        <v>14920</v>
      </c>
      <c r="B74" s="376" t="s">
        <v>208</v>
      </c>
      <c r="C74" s="376" t="s">
        <v>125</v>
      </c>
      <c r="D74" s="404" t="s">
        <v>2</v>
      </c>
      <c r="E74" s="141"/>
      <c r="F74" s="144">
        <v>1500</v>
      </c>
      <c r="G74" s="145">
        <f t="shared" si="22"/>
        <v>10.2291325695581</v>
      </c>
      <c r="H74" s="146">
        <f t="shared" si="23"/>
        <v>3.8336113274384198</v>
      </c>
      <c r="I74" s="321"/>
      <c r="J74" s="11"/>
      <c r="K74" s="156">
        <v>500</v>
      </c>
      <c r="L74" s="140">
        <f t="shared" si="20"/>
        <v>3.4637552649080026</v>
      </c>
      <c r="M74" s="140">
        <f t="shared" si="21"/>
        <v>1.2981248731239607</v>
      </c>
      <c r="N74" s="141"/>
      <c r="O74" s="147"/>
      <c r="P74" s="315"/>
      <c r="Q74" s="149"/>
      <c r="R74" s="314"/>
      <c r="S74" s="143"/>
      <c r="T74" s="149"/>
      <c r="V74" s="332">
        <f>'App 1-Services'!H74</f>
        <v>2900</v>
      </c>
      <c r="W74" s="267">
        <v>2820</v>
      </c>
      <c r="X74" s="268">
        <v>2776</v>
      </c>
      <c r="Y74" s="269">
        <v>0</v>
      </c>
      <c r="Z74" s="283">
        <v>0</v>
      </c>
      <c r="AB74" s="284">
        <f>'App 1-Services'!G74</f>
        <v>7738</v>
      </c>
      <c r="AC74" s="9">
        <f t="shared" si="24"/>
        <v>7524.5379310344824</v>
      </c>
      <c r="AD74" s="9">
        <f t="shared" si="25"/>
        <v>7407.1337931034477</v>
      </c>
      <c r="AE74" s="9">
        <f t="shared" si="26"/>
        <v>0</v>
      </c>
      <c r="AF74" s="9">
        <f t="shared" si="27"/>
        <v>0</v>
      </c>
      <c r="AG74" s="280"/>
      <c r="AH74" s="147"/>
      <c r="AI74" s="266">
        <f t="shared" si="28"/>
        <v>0</v>
      </c>
    </row>
    <row r="75" spans="1:35" x14ac:dyDescent="0.2">
      <c r="A75" s="376">
        <v>14950</v>
      </c>
      <c r="B75" s="376" t="s">
        <v>209</v>
      </c>
      <c r="C75" s="376" t="s">
        <v>142</v>
      </c>
      <c r="D75" s="404" t="s">
        <v>2</v>
      </c>
      <c r="E75" s="148"/>
      <c r="F75" s="144">
        <v>667</v>
      </c>
      <c r="G75" s="145">
        <f t="shared" si="22"/>
        <v>13.035490931832395</v>
      </c>
      <c r="H75" s="146">
        <f t="shared" si="23"/>
        <v>9.3974841168253516</v>
      </c>
      <c r="I75" s="321"/>
      <c r="J75" s="11"/>
      <c r="K75" s="156">
        <v>211.73</v>
      </c>
      <c r="L75" s="140">
        <f t="shared" si="20"/>
        <v>4.1933375584250969</v>
      </c>
      <c r="M75" s="140">
        <f t="shared" si="21"/>
        <v>3.0230409662252473</v>
      </c>
      <c r="N75" s="148"/>
      <c r="O75" s="147"/>
      <c r="P75" s="315"/>
      <c r="Q75" s="149"/>
      <c r="R75" s="314"/>
      <c r="S75" s="143"/>
      <c r="T75" s="149"/>
      <c r="V75" s="332">
        <f>'App 1-Services'!H75</f>
        <v>2237</v>
      </c>
      <c r="W75" s="267">
        <v>984</v>
      </c>
      <c r="X75" s="268">
        <v>971</v>
      </c>
      <c r="Y75" s="269">
        <v>0</v>
      </c>
      <c r="Z75" s="283">
        <v>0</v>
      </c>
      <c r="AB75" s="284">
        <f>'App 1-Services'!G75</f>
        <v>3103</v>
      </c>
      <c r="AC75" s="9">
        <f t="shared" si="24"/>
        <v>1364.9316048278945</v>
      </c>
      <c r="AD75" s="9">
        <f t="shared" si="25"/>
        <v>1346.898971837282</v>
      </c>
      <c r="AE75" s="9">
        <f t="shared" si="26"/>
        <v>0</v>
      </c>
      <c r="AF75" s="9">
        <f t="shared" si="27"/>
        <v>0</v>
      </c>
      <c r="AG75" s="280"/>
      <c r="AH75" s="147"/>
      <c r="AI75" s="266">
        <f t="shared" si="28"/>
        <v>0</v>
      </c>
    </row>
    <row r="76" spans="1:35" x14ac:dyDescent="0.2">
      <c r="A76" s="376">
        <v>15050</v>
      </c>
      <c r="B76" s="376" t="s">
        <v>210</v>
      </c>
      <c r="C76" s="376" t="s">
        <v>163</v>
      </c>
      <c r="D76" s="404" t="s">
        <v>3</v>
      </c>
      <c r="E76" s="141"/>
      <c r="F76" s="144">
        <v>24519</v>
      </c>
      <c r="G76" s="145">
        <f t="shared" si="22"/>
        <v>16.220131777407321</v>
      </c>
      <c r="H76" s="146">
        <f t="shared" si="23"/>
        <v>6.0376873433880194</v>
      </c>
      <c r="I76" s="321"/>
      <c r="J76" s="11"/>
      <c r="K76" s="295">
        <v>6849</v>
      </c>
      <c r="L76" s="140">
        <f t="shared" si="20"/>
        <v>4.2961556025030481</v>
      </c>
      <c r="M76" s="140">
        <f t="shared" si="21"/>
        <v>1.5991759291738836</v>
      </c>
      <c r="N76" s="141"/>
      <c r="O76" s="147">
        <v>2663</v>
      </c>
      <c r="P76" s="315">
        <f>(O76*1000)/Y76/52</f>
        <v>1.6883110296224726</v>
      </c>
      <c r="Q76" s="149">
        <f>(O76*1000)/AE76/52</f>
        <v>0.62844706042723419</v>
      </c>
      <c r="R76" s="314"/>
      <c r="S76" s="143"/>
      <c r="T76" s="149"/>
      <c r="V76" s="332">
        <f>'App 1-Services'!H76</f>
        <v>29070</v>
      </c>
      <c r="W76" s="267">
        <v>29070</v>
      </c>
      <c r="X76" s="268">
        <v>30658</v>
      </c>
      <c r="Y76" s="269">
        <v>30333</v>
      </c>
      <c r="Z76" s="283">
        <v>0</v>
      </c>
      <c r="AB76" s="284">
        <f>'App 1-Services'!G76</f>
        <v>78096</v>
      </c>
      <c r="AC76" s="9">
        <f t="shared" si="24"/>
        <v>78096</v>
      </c>
      <c r="AD76" s="9">
        <f t="shared" si="25"/>
        <v>82362.131682146544</v>
      </c>
      <c r="AE76" s="9">
        <f t="shared" si="26"/>
        <v>81489.025386996902</v>
      </c>
      <c r="AF76" s="9">
        <f t="shared" si="27"/>
        <v>0</v>
      </c>
      <c r="AG76" s="280"/>
      <c r="AH76" s="147">
        <v>1</v>
      </c>
      <c r="AI76" s="266">
        <f t="shared" si="28"/>
        <v>30333</v>
      </c>
    </row>
    <row r="77" spans="1:35" x14ac:dyDescent="0.2">
      <c r="A77" s="376">
        <v>15240</v>
      </c>
      <c r="B77" s="376" t="s">
        <v>180</v>
      </c>
      <c r="C77" s="376" t="s">
        <v>294</v>
      </c>
      <c r="D77" s="404" t="s">
        <v>5</v>
      </c>
      <c r="E77" s="141"/>
      <c r="F77" s="144">
        <v>20480.310000000001</v>
      </c>
      <c r="G77" s="145">
        <f t="shared" si="22"/>
        <v>9.1851982412046773</v>
      </c>
      <c r="H77" s="146">
        <f t="shared" si="23"/>
        <v>6.6874513120048817</v>
      </c>
      <c r="I77" s="321"/>
      <c r="J77" s="11"/>
      <c r="K77" s="296">
        <v>10648</v>
      </c>
      <c r="L77" s="140">
        <f t="shared" si="20"/>
        <v>4.7380543007365166</v>
      </c>
      <c r="M77" s="140">
        <f t="shared" si="21"/>
        <v>3.4496269560813628</v>
      </c>
      <c r="N77" s="141"/>
      <c r="O77" s="147">
        <v>10517.74</v>
      </c>
      <c r="P77" s="315">
        <f>(O77*1000)/Y77/52</f>
        <v>5.5942092811492081</v>
      </c>
      <c r="Q77" s="149">
        <f>(O77*1000)/AE77/52</f>
        <v>4.072966223965194</v>
      </c>
      <c r="R77" s="314"/>
      <c r="S77" s="143"/>
      <c r="T77" s="149"/>
      <c r="V77" s="332">
        <f>'App 1-Services'!H77</f>
        <v>66726</v>
      </c>
      <c r="W77" s="267">
        <v>42879</v>
      </c>
      <c r="X77" s="268">
        <v>43218</v>
      </c>
      <c r="Y77" s="269">
        <v>36156</v>
      </c>
      <c r="Z77" s="283">
        <v>0</v>
      </c>
      <c r="AB77" s="284">
        <f>'App 1-Services'!G77</f>
        <v>91648</v>
      </c>
      <c r="AC77" s="9">
        <f t="shared" si="24"/>
        <v>58894.203039295026</v>
      </c>
      <c r="AD77" s="9">
        <f t="shared" si="25"/>
        <v>59359.818721338015</v>
      </c>
      <c r="AE77" s="9">
        <f t="shared" si="26"/>
        <v>49660.178760902796</v>
      </c>
      <c r="AF77" s="9">
        <f t="shared" si="27"/>
        <v>0</v>
      </c>
      <c r="AG77" s="280"/>
      <c r="AH77" s="147">
        <v>1</v>
      </c>
      <c r="AI77" s="266">
        <f t="shared" si="28"/>
        <v>36156</v>
      </c>
    </row>
    <row r="78" spans="1:35" x14ac:dyDescent="0.2">
      <c r="A78" s="376">
        <v>15270</v>
      </c>
      <c r="B78" s="376" t="s">
        <v>212</v>
      </c>
      <c r="C78" s="376" t="s">
        <v>293</v>
      </c>
      <c r="D78" s="404" t="s">
        <v>2</v>
      </c>
      <c r="E78" s="141"/>
      <c r="F78" s="144">
        <v>4732.9399999999996</v>
      </c>
      <c r="G78" s="145">
        <f t="shared" si="22"/>
        <v>11.872955507836801</v>
      </c>
      <c r="H78" s="146">
        <f t="shared" si="23"/>
        <v>6.4421514851882966</v>
      </c>
      <c r="I78" s="321"/>
      <c r="J78" s="11"/>
      <c r="K78" s="156">
        <v>1144.6600000000001</v>
      </c>
      <c r="L78" s="140">
        <f t="shared" si="20"/>
        <v>2.8714704288667243</v>
      </c>
      <c r="M78" s="140">
        <f t="shared" si="21"/>
        <v>1.5580322419121384</v>
      </c>
      <c r="N78" s="141"/>
      <c r="O78" s="147"/>
      <c r="P78" s="315"/>
      <c r="Q78" s="149"/>
      <c r="R78" s="314"/>
      <c r="S78" s="143"/>
      <c r="T78" s="149"/>
      <c r="V78" s="332">
        <f>'App 1-Services'!H78</f>
        <v>13192</v>
      </c>
      <c r="W78" s="267">
        <v>7666</v>
      </c>
      <c r="X78" s="268">
        <v>7666</v>
      </c>
      <c r="Y78" s="269">
        <v>0</v>
      </c>
      <c r="Z78" s="283">
        <v>0</v>
      </c>
      <c r="AB78" s="284">
        <f>'App 1-Services'!G78</f>
        <v>24313</v>
      </c>
      <c r="AC78" s="9">
        <f t="shared" si="24"/>
        <v>14128.521679805945</v>
      </c>
      <c r="AD78" s="9">
        <f t="shared" si="25"/>
        <v>14128.521679805945</v>
      </c>
      <c r="AE78" s="9">
        <f t="shared" si="26"/>
        <v>0</v>
      </c>
      <c r="AF78" s="9">
        <f t="shared" si="27"/>
        <v>0</v>
      </c>
      <c r="AG78" s="280"/>
      <c r="AH78" s="147"/>
      <c r="AI78" s="266">
        <f t="shared" si="28"/>
        <v>0</v>
      </c>
    </row>
    <row r="79" spans="1:35" x14ac:dyDescent="0.2">
      <c r="A79" s="376">
        <v>15300</v>
      </c>
      <c r="B79" s="376" t="s">
        <v>213</v>
      </c>
      <c r="C79" s="376" t="s">
        <v>125</v>
      </c>
      <c r="D79" s="404" t="s">
        <v>2</v>
      </c>
      <c r="E79" s="141"/>
      <c r="F79" s="144">
        <v>2577.52</v>
      </c>
      <c r="G79" s="145">
        <f t="shared" si="22"/>
        <v>8.4284462349417293</v>
      </c>
      <c r="H79" s="146">
        <f t="shared" si="23"/>
        <v>3.9686517718112322</v>
      </c>
      <c r="I79" s="321"/>
      <c r="J79" s="11"/>
      <c r="K79" s="156">
        <v>994.67</v>
      </c>
      <c r="L79" s="140">
        <f t="shared" si="20"/>
        <v>4.1012584113999209</v>
      </c>
      <c r="M79" s="140">
        <f t="shared" si="21"/>
        <v>1.9311348743711296</v>
      </c>
      <c r="N79" s="141"/>
      <c r="O79" s="147"/>
      <c r="P79" s="315"/>
      <c r="Q79" s="149"/>
      <c r="R79" s="314">
        <v>902.59</v>
      </c>
      <c r="S79" s="143">
        <f>(R79*1000)/Z79/52</f>
        <v>3.7176054829727994</v>
      </c>
      <c r="T79" s="149">
        <f>(R79*1000)/AF79/52</f>
        <v>1.75048652807799</v>
      </c>
      <c r="V79" s="332">
        <f>'App 1-Services'!H79</f>
        <v>6529</v>
      </c>
      <c r="W79" s="267">
        <v>5881</v>
      </c>
      <c r="X79" s="268">
        <v>4664</v>
      </c>
      <c r="Y79" s="269">
        <v>0</v>
      </c>
      <c r="Z79" s="283">
        <v>4669</v>
      </c>
      <c r="AB79" s="284">
        <f>'App 1-Services'!G79</f>
        <v>13866</v>
      </c>
      <c r="AC79" s="9">
        <f t="shared" si="24"/>
        <v>12489.806402205544</v>
      </c>
      <c r="AD79" s="9">
        <f t="shared" si="25"/>
        <v>9905.1958952366367</v>
      </c>
      <c r="AE79" s="9">
        <f t="shared" si="26"/>
        <v>0</v>
      </c>
      <c r="AF79" s="9">
        <f t="shared" si="27"/>
        <v>9915.814672997396</v>
      </c>
      <c r="AG79" s="280">
        <v>1</v>
      </c>
      <c r="AH79" s="147"/>
      <c r="AI79" s="266">
        <f t="shared" si="28"/>
        <v>4669</v>
      </c>
    </row>
    <row r="80" spans="1:35" x14ac:dyDescent="0.2">
      <c r="A80" s="376">
        <v>15350</v>
      </c>
      <c r="B80" s="376" t="s">
        <v>214</v>
      </c>
      <c r="C80" s="376" t="s">
        <v>190</v>
      </c>
      <c r="D80" s="404" t="s">
        <v>4</v>
      </c>
      <c r="E80" s="141"/>
      <c r="F80" s="144">
        <v>6107</v>
      </c>
      <c r="G80" s="145">
        <f t="shared" si="22"/>
        <v>9.2510679552822133</v>
      </c>
      <c r="H80" s="146">
        <f t="shared" si="23"/>
        <v>4.0112311880764224</v>
      </c>
      <c r="I80" s="321"/>
      <c r="J80" s="11"/>
      <c r="K80" s="156">
        <v>2764</v>
      </c>
      <c r="L80" s="140">
        <f t="shared" si="20"/>
        <v>4.1869906383494406</v>
      </c>
      <c r="M80" s="140">
        <f t="shared" si="21"/>
        <v>1.8154647132541726</v>
      </c>
      <c r="N80" s="141"/>
      <c r="O80" s="147">
        <v>1350</v>
      </c>
      <c r="P80" s="315">
        <f>(O80*1000)/Y80/52</f>
        <v>2.0450207531735694</v>
      </c>
      <c r="Q80" s="149">
        <f>(O80*1000)/AE80/52</f>
        <v>0.88671395184266744</v>
      </c>
      <c r="R80" s="314"/>
      <c r="S80" s="143"/>
      <c r="T80" s="149"/>
      <c r="V80" s="332">
        <f>'App 1-Services'!H80</f>
        <v>13288</v>
      </c>
      <c r="W80" s="267">
        <v>12695</v>
      </c>
      <c r="X80" s="268">
        <v>12695</v>
      </c>
      <c r="Y80" s="269">
        <v>12695</v>
      </c>
      <c r="Z80" s="283">
        <v>0</v>
      </c>
      <c r="AB80" s="284">
        <f>'App 1-Services'!G80</f>
        <v>30646</v>
      </c>
      <c r="AC80" s="9">
        <f t="shared" si="24"/>
        <v>29278.369205298015</v>
      </c>
      <c r="AD80" s="9">
        <f t="shared" si="25"/>
        <v>29278.369205298015</v>
      </c>
      <c r="AE80" s="9">
        <f t="shared" si="26"/>
        <v>29278.369205298015</v>
      </c>
      <c r="AF80" s="9">
        <f t="shared" si="27"/>
        <v>0</v>
      </c>
      <c r="AG80" s="280"/>
      <c r="AH80" s="147">
        <v>1</v>
      </c>
      <c r="AI80" s="266">
        <f t="shared" si="28"/>
        <v>12695</v>
      </c>
    </row>
    <row r="81" spans="1:35" x14ac:dyDescent="0.2">
      <c r="A81" s="376">
        <v>15520</v>
      </c>
      <c r="B81" s="376" t="s">
        <v>215</v>
      </c>
      <c r="C81" s="376" t="s">
        <v>703</v>
      </c>
      <c r="D81" s="404" t="s">
        <v>2</v>
      </c>
      <c r="E81" s="141"/>
      <c r="F81" s="144">
        <v>3678</v>
      </c>
      <c r="G81" s="145">
        <f t="shared" si="22"/>
        <v>14.850046027875127</v>
      </c>
      <c r="H81" s="146">
        <f t="shared" si="23"/>
        <v>6.7655047572666698</v>
      </c>
      <c r="I81" s="321"/>
      <c r="J81" s="11"/>
      <c r="K81" s="156">
        <v>1209</v>
      </c>
      <c r="L81" s="140">
        <f t="shared" si="20"/>
        <v>4.9679487179487172</v>
      </c>
      <c r="M81" s="140">
        <f t="shared" si="21"/>
        <v>2.2633384854193754</v>
      </c>
      <c r="N81" s="141"/>
      <c r="O81" s="147"/>
      <c r="P81" s="315"/>
      <c r="Q81" s="149"/>
      <c r="R81" s="314"/>
      <c r="S81" s="143"/>
      <c r="T81" s="149"/>
      <c r="V81" s="332">
        <f>'App 1-Services'!H81</f>
        <v>5283</v>
      </c>
      <c r="W81" s="267">
        <v>4763</v>
      </c>
      <c r="X81" s="268">
        <v>4680</v>
      </c>
      <c r="Y81" s="269">
        <v>0</v>
      </c>
      <c r="Z81" s="283">
        <v>0</v>
      </c>
      <c r="AB81" s="284">
        <f>'App 1-Services'!G81</f>
        <v>11596</v>
      </c>
      <c r="AC81" s="9">
        <f t="shared" si="24"/>
        <v>10454.618209350747</v>
      </c>
      <c r="AD81" s="9">
        <f t="shared" si="25"/>
        <v>10272.436115843271</v>
      </c>
      <c r="AE81" s="9">
        <f t="shared" si="26"/>
        <v>0</v>
      </c>
      <c r="AF81" s="9">
        <f t="shared" si="27"/>
        <v>0</v>
      </c>
      <c r="AG81" s="280"/>
      <c r="AH81" s="147"/>
      <c r="AI81" s="266">
        <f t="shared" si="28"/>
        <v>0</v>
      </c>
    </row>
    <row r="82" spans="1:35" x14ac:dyDescent="0.2">
      <c r="A82" s="376">
        <v>15560</v>
      </c>
      <c r="B82" s="376" t="s">
        <v>195</v>
      </c>
      <c r="C82" s="376" t="s">
        <v>705</v>
      </c>
      <c r="D82" s="404" t="s">
        <v>2</v>
      </c>
      <c r="E82" s="141"/>
      <c r="F82" s="144">
        <v>787</v>
      </c>
      <c r="G82" s="145">
        <f t="shared" si="22"/>
        <v>10.36617492096944</v>
      </c>
      <c r="H82" s="146">
        <f t="shared" si="23"/>
        <v>2.8722783863555716</v>
      </c>
      <c r="I82" s="321"/>
      <c r="J82" s="11"/>
      <c r="K82" s="295">
        <v>485</v>
      </c>
      <c r="L82" s="140">
        <f t="shared" si="20"/>
        <v>11.658653846153847</v>
      </c>
      <c r="M82" s="140">
        <f t="shared" si="21"/>
        <v>3.2304007709313534</v>
      </c>
      <c r="N82" s="141"/>
      <c r="O82" s="147"/>
      <c r="P82" s="315"/>
      <c r="Q82" s="149"/>
      <c r="R82" s="314"/>
      <c r="S82" s="143"/>
      <c r="T82" s="149"/>
      <c r="V82" s="332">
        <f>'App 1-Services'!H82</f>
        <v>1128</v>
      </c>
      <c r="W82" s="267">
        <v>1460</v>
      </c>
      <c r="X82" s="268">
        <v>800</v>
      </c>
      <c r="Y82" s="269">
        <v>0</v>
      </c>
      <c r="Z82" s="283">
        <v>0</v>
      </c>
      <c r="AB82" s="284">
        <f>'App 1-Services'!G82</f>
        <v>4071</v>
      </c>
      <c r="AC82" s="9">
        <f t="shared" si="24"/>
        <v>5269.2021276595742</v>
      </c>
      <c r="AD82" s="9">
        <f t="shared" si="25"/>
        <v>2887.2340425531916</v>
      </c>
      <c r="AE82" s="9">
        <f t="shared" si="26"/>
        <v>0</v>
      </c>
      <c r="AF82" s="9">
        <f t="shared" si="27"/>
        <v>0</v>
      </c>
      <c r="AG82" s="280"/>
      <c r="AH82" s="147"/>
      <c r="AI82" s="266">
        <f t="shared" si="28"/>
        <v>0</v>
      </c>
    </row>
    <row r="83" spans="1:35" x14ac:dyDescent="0.2">
      <c r="A83" s="376">
        <v>15650</v>
      </c>
      <c r="B83" s="376" t="s">
        <v>216</v>
      </c>
      <c r="C83" s="376" t="s">
        <v>163</v>
      </c>
      <c r="D83" s="404" t="s">
        <v>5</v>
      </c>
      <c r="E83" s="141"/>
      <c r="F83" s="144">
        <v>3371.5</v>
      </c>
      <c r="G83" s="145">
        <f t="shared" si="22"/>
        <v>9.6785398509536442</v>
      </c>
      <c r="H83" s="146">
        <f t="shared" si="23"/>
        <v>4.0650534322886731</v>
      </c>
      <c r="I83" s="321"/>
      <c r="J83" s="11"/>
      <c r="K83" s="295">
        <v>1270.01</v>
      </c>
      <c r="L83" s="140">
        <f t="shared" si="20"/>
        <v>3.7128715765839511</v>
      </c>
      <c r="M83" s="140">
        <f t="shared" si="21"/>
        <v>1.5594316475901584</v>
      </c>
      <c r="N83" s="141"/>
      <c r="O83" s="147">
        <v>1743.74</v>
      </c>
      <c r="P83" s="315">
        <f>(O83*1000)/Y83/52</f>
        <v>5.569417295874695</v>
      </c>
      <c r="Q83" s="149">
        <f>(O83*1000)/AE83/52</f>
        <v>2.3391936431622553</v>
      </c>
      <c r="R83" s="314"/>
      <c r="S83" s="143"/>
      <c r="T83" s="149"/>
      <c r="V83" s="332">
        <f>'App 1-Services'!H83</f>
        <v>7314</v>
      </c>
      <c r="W83" s="267">
        <v>6699</v>
      </c>
      <c r="X83" s="268">
        <v>6578</v>
      </c>
      <c r="Y83" s="269">
        <v>6021</v>
      </c>
      <c r="Z83" s="283">
        <v>0</v>
      </c>
      <c r="AB83" s="284">
        <f>'App 1-Services'!G83</f>
        <v>17414</v>
      </c>
      <c r="AC83" s="9">
        <f t="shared" si="24"/>
        <v>15949.738310090239</v>
      </c>
      <c r="AD83" s="9">
        <f t="shared" si="25"/>
        <v>15661.647798742139</v>
      </c>
      <c r="AE83" s="9">
        <f t="shared" si="26"/>
        <v>14335.479081214111</v>
      </c>
      <c r="AF83" s="9">
        <f t="shared" si="27"/>
        <v>0</v>
      </c>
      <c r="AG83" s="280"/>
      <c r="AH83" s="147">
        <v>1</v>
      </c>
      <c r="AI83" s="266">
        <f t="shared" si="28"/>
        <v>6021</v>
      </c>
    </row>
    <row r="84" spans="1:35" x14ac:dyDescent="0.2">
      <c r="A84" s="376">
        <v>15700</v>
      </c>
      <c r="B84" s="376" t="s">
        <v>217</v>
      </c>
      <c r="C84" s="376" t="s">
        <v>294</v>
      </c>
      <c r="D84" s="404" t="s">
        <v>5</v>
      </c>
      <c r="E84" s="141"/>
      <c r="F84" s="144">
        <v>2200</v>
      </c>
      <c r="G84" s="145">
        <f t="shared" si="22"/>
        <v>5.548549810844893</v>
      </c>
      <c r="H84" s="146">
        <f t="shared" si="23"/>
        <v>2.2840708379255483</v>
      </c>
      <c r="I84" s="321"/>
      <c r="J84" s="11"/>
      <c r="K84" s="156">
        <v>2130.7600000000002</v>
      </c>
      <c r="L84" s="140">
        <f t="shared" si="20"/>
        <v>5.3739218158890294</v>
      </c>
      <c r="M84" s="140">
        <f t="shared" si="21"/>
        <v>2.2121848993719277</v>
      </c>
      <c r="N84" s="141"/>
      <c r="O84" s="147"/>
      <c r="P84" s="315"/>
      <c r="Q84" s="149"/>
      <c r="R84" s="314">
        <v>2689.48</v>
      </c>
      <c r="S84" s="143">
        <f>(R84*1000)/Z84/52</f>
        <v>6.7830517023959649</v>
      </c>
      <c r="T84" s="149">
        <f>(R84*1000)/AF84/52</f>
        <v>2.7922558350836377</v>
      </c>
      <c r="V84" s="332">
        <f>'App 1-Services'!H84</f>
        <v>8154</v>
      </c>
      <c r="W84" s="267">
        <v>7625</v>
      </c>
      <c r="X84" s="268">
        <v>7625</v>
      </c>
      <c r="Y84" s="269">
        <v>0</v>
      </c>
      <c r="Z84" s="283">
        <v>7625</v>
      </c>
      <c r="AB84" s="284">
        <f>'App 1-Services'!G84</f>
        <v>19808</v>
      </c>
      <c r="AC84" s="9">
        <f t="shared" si="24"/>
        <v>18522.933529556045</v>
      </c>
      <c r="AD84" s="9">
        <f t="shared" si="25"/>
        <v>18522.933529556045</v>
      </c>
      <c r="AE84" s="9">
        <f t="shared" si="26"/>
        <v>0</v>
      </c>
      <c r="AF84" s="9">
        <f t="shared" si="27"/>
        <v>18522.933529556045</v>
      </c>
      <c r="AG84" s="280">
        <v>1</v>
      </c>
      <c r="AH84" s="147"/>
      <c r="AI84" s="266">
        <f t="shared" si="28"/>
        <v>7625</v>
      </c>
    </row>
    <row r="85" spans="1:35" x14ac:dyDescent="0.2">
      <c r="A85" s="376">
        <v>15750</v>
      </c>
      <c r="B85" s="376" t="s">
        <v>218</v>
      </c>
      <c r="C85" s="376" t="s">
        <v>125</v>
      </c>
      <c r="D85" s="404" t="s">
        <v>2</v>
      </c>
      <c r="E85" s="141"/>
      <c r="F85" s="144">
        <v>1479.6</v>
      </c>
      <c r="G85" s="145">
        <f t="shared" si="22"/>
        <v>6.6527580439200733</v>
      </c>
      <c r="H85" s="146">
        <f t="shared" si="23"/>
        <v>2.4516798069560379</v>
      </c>
      <c r="I85" s="321"/>
      <c r="J85" s="11"/>
      <c r="K85" s="156">
        <v>588.6</v>
      </c>
      <c r="L85" s="140">
        <f t="shared" si="20"/>
        <v>2.6664854580048925</v>
      </c>
      <c r="M85" s="140">
        <f t="shared" si="21"/>
        <v>0.98265539040713945</v>
      </c>
      <c r="N85" s="141"/>
      <c r="O85" s="147"/>
      <c r="P85" s="315"/>
      <c r="Q85" s="149"/>
      <c r="R85" s="314">
        <v>635.1</v>
      </c>
      <c r="S85" s="143">
        <f>(R85*1000)/Z85/52</f>
        <v>2.8656643684799481</v>
      </c>
      <c r="T85" s="149">
        <f>(R85*1000)/AF85/52</f>
        <v>1.0560569645451729</v>
      </c>
      <c r="V85" s="332">
        <f>'App 1-Services'!H85</f>
        <v>5055</v>
      </c>
      <c r="W85" s="267">
        <v>4277</v>
      </c>
      <c r="X85" s="268">
        <v>4245</v>
      </c>
      <c r="Y85" s="269">
        <v>0</v>
      </c>
      <c r="Z85" s="283">
        <v>4262</v>
      </c>
      <c r="AB85" s="284">
        <f>'App 1-Services'!G85</f>
        <v>13717</v>
      </c>
      <c r="AC85" s="9">
        <f t="shared" si="24"/>
        <v>11605.857368941641</v>
      </c>
      <c r="AD85" s="9">
        <f t="shared" si="25"/>
        <v>11519.023738872404</v>
      </c>
      <c r="AE85" s="9">
        <f t="shared" si="26"/>
        <v>0</v>
      </c>
      <c r="AF85" s="9">
        <f t="shared" si="27"/>
        <v>11565.154104846686</v>
      </c>
      <c r="AG85" s="280">
        <v>1</v>
      </c>
      <c r="AH85" s="147"/>
      <c r="AI85" s="266">
        <f t="shared" si="28"/>
        <v>4262</v>
      </c>
    </row>
    <row r="86" spans="1:35" x14ac:dyDescent="0.2">
      <c r="A86" s="376">
        <v>15800</v>
      </c>
      <c r="B86" s="376" t="s">
        <v>219</v>
      </c>
      <c r="C86" s="376" t="s">
        <v>705</v>
      </c>
      <c r="D86" s="404" t="s">
        <v>2</v>
      </c>
      <c r="E86" s="141"/>
      <c r="F86" s="144">
        <v>1050</v>
      </c>
      <c r="G86" s="145">
        <f t="shared" si="22"/>
        <v>6.6269470601600569</v>
      </c>
      <c r="H86" s="146">
        <f t="shared" si="23"/>
        <v>2.8538916128497127</v>
      </c>
      <c r="I86" s="321"/>
      <c r="J86" s="11"/>
      <c r="K86" s="156">
        <v>389</v>
      </c>
      <c r="L86" s="140">
        <f t="shared" si="20"/>
        <v>7.3920644572818484</v>
      </c>
      <c r="M86" s="140">
        <f t="shared" si="21"/>
        <v>3.1833890575506745</v>
      </c>
      <c r="N86" s="141"/>
      <c r="O86" s="147"/>
      <c r="P86" s="315"/>
      <c r="Q86" s="149"/>
      <c r="R86" s="314"/>
      <c r="S86" s="143"/>
      <c r="T86" s="149"/>
      <c r="V86" s="332">
        <f>'App 1-Services'!H86</f>
        <v>2546</v>
      </c>
      <c r="W86" s="267">
        <v>3047</v>
      </c>
      <c r="X86" s="268">
        <v>1012</v>
      </c>
      <c r="Y86" s="269">
        <v>0</v>
      </c>
      <c r="Z86" s="283">
        <v>0</v>
      </c>
      <c r="AB86" s="284">
        <f>'App 1-Services'!G86</f>
        <v>5912</v>
      </c>
      <c r="AC86" s="9">
        <f t="shared" si="24"/>
        <v>7075.358994501179</v>
      </c>
      <c r="AD86" s="9">
        <f t="shared" si="25"/>
        <v>2349.9387274155538</v>
      </c>
      <c r="AE86" s="9">
        <f t="shared" si="26"/>
        <v>0</v>
      </c>
      <c r="AF86" s="9">
        <f t="shared" si="27"/>
        <v>0</v>
      </c>
      <c r="AG86" s="280"/>
      <c r="AH86" s="147"/>
      <c r="AI86" s="266">
        <f t="shared" si="28"/>
        <v>0</v>
      </c>
    </row>
    <row r="87" spans="1:35" x14ac:dyDescent="0.2">
      <c r="A87" s="376">
        <v>15850</v>
      </c>
      <c r="B87" s="376" t="s">
        <v>220</v>
      </c>
      <c r="C87" s="376" t="s">
        <v>293</v>
      </c>
      <c r="D87" s="404" t="s">
        <v>2</v>
      </c>
      <c r="E87" s="148"/>
      <c r="F87" s="144">
        <v>2145</v>
      </c>
      <c r="G87" s="145">
        <f t="shared" si="22"/>
        <v>18.991712707182323</v>
      </c>
      <c r="H87" s="146">
        <f t="shared" si="23"/>
        <v>6.0697469099470274</v>
      </c>
      <c r="I87" s="321"/>
      <c r="J87" s="11"/>
      <c r="K87" s="156">
        <v>568</v>
      </c>
      <c r="L87" s="140">
        <f t="shared" si="20"/>
        <v>5.33093066035965</v>
      </c>
      <c r="M87" s="140">
        <f t="shared" si="21"/>
        <v>1.7037641839760389</v>
      </c>
      <c r="N87" s="148"/>
      <c r="O87" s="147"/>
      <c r="P87" s="315"/>
      <c r="Q87" s="149"/>
      <c r="R87" s="314"/>
      <c r="S87" s="143"/>
      <c r="T87" s="149"/>
      <c r="V87" s="332">
        <f>'App 1-Services'!H87</f>
        <v>2172</v>
      </c>
      <c r="W87" s="267">
        <v>2172</v>
      </c>
      <c r="X87" s="268">
        <v>2049</v>
      </c>
      <c r="Y87" s="269">
        <v>0</v>
      </c>
      <c r="Z87" s="283">
        <v>0</v>
      </c>
      <c r="AB87" s="284">
        <f>'App 1-Services'!G87</f>
        <v>6796</v>
      </c>
      <c r="AC87" s="9">
        <f t="shared" si="24"/>
        <v>6796</v>
      </c>
      <c r="AD87" s="9">
        <f t="shared" si="25"/>
        <v>6411.1436464088392</v>
      </c>
      <c r="AE87" s="9">
        <f t="shared" si="26"/>
        <v>0</v>
      </c>
      <c r="AF87" s="9">
        <f t="shared" si="27"/>
        <v>0</v>
      </c>
      <c r="AG87" s="280"/>
      <c r="AH87" s="147"/>
      <c r="AI87" s="266">
        <f t="shared" si="28"/>
        <v>0</v>
      </c>
    </row>
    <row r="88" spans="1:35" x14ac:dyDescent="0.2">
      <c r="A88" s="376">
        <v>15900</v>
      </c>
      <c r="B88" s="376" t="s">
        <v>221</v>
      </c>
      <c r="C88" s="376" t="s">
        <v>163</v>
      </c>
      <c r="D88" s="404" t="s">
        <v>3</v>
      </c>
      <c r="E88" s="141"/>
      <c r="F88" s="144">
        <v>36608.5</v>
      </c>
      <c r="G88" s="145">
        <f t="shared" si="22"/>
        <v>11.14521214217258</v>
      </c>
      <c r="H88" s="146">
        <f t="shared" si="23"/>
        <v>4.3252867022880412</v>
      </c>
      <c r="I88" s="321"/>
      <c r="J88" s="11"/>
      <c r="K88" s="156">
        <v>16449.400000000001</v>
      </c>
      <c r="L88" s="140">
        <f t="shared" si="20"/>
        <v>5.0079094366459609</v>
      </c>
      <c r="M88" s="140">
        <f t="shared" si="21"/>
        <v>1.9434932073320927</v>
      </c>
      <c r="N88" s="141"/>
      <c r="O88" s="147">
        <v>14162.93</v>
      </c>
      <c r="P88" s="315">
        <f>(O88*1000)/Y88/52</f>
        <v>4.2916981305885082</v>
      </c>
      <c r="Q88" s="149">
        <f>(O88*1000)/AE88/52</f>
        <v>1.6655425323156205</v>
      </c>
      <c r="R88" s="314"/>
      <c r="S88" s="143"/>
      <c r="T88" s="149"/>
      <c r="V88" s="332">
        <f>'App 1-Services'!H88</f>
        <v>63167</v>
      </c>
      <c r="W88" s="267">
        <v>63167</v>
      </c>
      <c r="X88" s="268">
        <v>63167</v>
      </c>
      <c r="Y88" s="269">
        <v>63463</v>
      </c>
      <c r="Z88" s="283">
        <v>0</v>
      </c>
      <c r="AB88" s="284">
        <f>'App 1-Services'!G88</f>
        <v>162766</v>
      </c>
      <c r="AC88" s="9">
        <f t="shared" si="24"/>
        <v>162766</v>
      </c>
      <c r="AD88" s="9">
        <f t="shared" si="25"/>
        <v>162766</v>
      </c>
      <c r="AE88" s="9">
        <f t="shared" si="26"/>
        <v>163528.72002786264</v>
      </c>
      <c r="AF88" s="9">
        <f t="shared" si="27"/>
        <v>0</v>
      </c>
      <c r="AG88" s="280"/>
      <c r="AH88" s="147">
        <v>1</v>
      </c>
      <c r="AI88" s="266">
        <f t="shared" si="28"/>
        <v>63463</v>
      </c>
    </row>
    <row r="89" spans="1:35" x14ac:dyDescent="0.2">
      <c r="A89" s="376">
        <v>15950</v>
      </c>
      <c r="B89" s="376" t="s">
        <v>222</v>
      </c>
      <c r="C89" s="376" t="s">
        <v>190</v>
      </c>
      <c r="D89" s="404" t="s">
        <v>4</v>
      </c>
      <c r="E89" s="141"/>
      <c r="F89" s="144">
        <v>13045.6</v>
      </c>
      <c r="G89" s="145">
        <f t="shared" si="22"/>
        <v>7.1485089920764517</v>
      </c>
      <c r="H89" s="146">
        <f t="shared" si="23"/>
        <v>3.5769772189451299</v>
      </c>
      <c r="I89" s="321"/>
      <c r="J89" s="11"/>
      <c r="K89" s="156">
        <v>6388.6</v>
      </c>
      <c r="L89" s="140">
        <f t="shared" si="20"/>
        <v>3.3577767172563422</v>
      </c>
      <c r="M89" s="140">
        <f t="shared" si="21"/>
        <v>1.6801672680615194</v>
      </c>
      <c r="N89" s="141"/>
      <c r="O89" s="147"/>
      <c r="P89" s="315"/>
      <c r="Q89" s="149"/>
      <c r="R89" s="314"/>
      <c r="S89" s="143"/>
      <c r="T89" s="149"/>
      <c r="V89" s="332">
        <f>'App 1-Services'!H89</f>
        <v>36785</v>
      </c>
      <c r="W89" s="267">
        <v>35095</v>
      </c>
      <c r="X89" s="268">
        <v>36589</v>
      </c>
      <c r="Y89" s="269">
        <v>0</v>
      </c>
      <c r="Z89" s="283">
        <v>0</v>
      </c>
      <c r="AB89" s="284">
        <f>'App 1-Services'!G89</f>
        <v>73514</v>
      </c>
      <c r="AC89" s="9">
        <f t="shared" si="24"/>
        <v>70136.572787821118</v>
      </c>
      <c r="AD89" s="9">
        <f t="shared" si="25"/>
        <v>73122.298382492867</v>
      </c>
      <c r="AE89" s="9">
        <f t="shared" si="26"/>
        <v>0</v>
      </c>
      <c r="AF89" s="9">
        <f t="shared" si="27"/>
        <v>0</v>
      </c>
      <c r="AG89" s="280"/>
      <c r="AH89" s="147"/>
      <c r="AI89" s="266">
        <f t="shared" si="28"/>
        <v>0</v>
      </c>
    </row>
    <row r="90" spans="1:35" x14ac:dyDescent="0.2">
      <c r="A90" s="376">
        <v>15990</v>
      </c>
      <c r="B90" s="376" t="s">
        <v>211</v>
      </c>
      <c r="C90" s="376"/>
      <c r="D90" s="404" t="s">
        <v>4</v>
      </c>
      <c r="E90" s="141"/>
      <c r="F90" s="144">
        <v>49070</v>
      </c>
      <c r="G90" s="145">
        <f t="shared" si="22"/>
        <v>9.7437591887600661</v>
      </c>
      <c r="H90" s="146">
        <f t="shared" si="23"/>
        <v>3.5179504970276008</v>
      </c>
      <c r="I90" s="321"/>
      <c r="J90" s="11"/>
      <c r="K90" s="156">
        <v>29578</v>
      </c>
      <c r="L90" s="140">
        <f t="shared" si="20"/>
        <v>6.0879974773650316</v>
      </c>
      <c r="M90" s="140">
        <f t="shared" si="21"/>
        <v>2.1980503968227207</v>
      </c>
      <c r="N90" s="141"/>
      <c r="O90" s="147">
        <v>24871</v>
      </c>
      <c r="P90" s="315">
        <f>(O90*1000)/Y90/52</f>
        <v>5.1261852409725464</v>
      </c>
      <c r="Q90" s="149">
        <f>(O90*1000)/AE90/52</f>
        <v>1.8507914211526999</v>
      </c>
      <c r="R90" s="314"/>
      <c r="S90" s="143"/>
      <c r="T90" s="149"/>
      <c r="V90" s="332">
        <f>'App 1-Services'!H90</f>
        <v>97067</v>
      </c>
      <c r="W90" s="267">
        <v>96847</v>
      </c>
      <c r="X90" s="268">
        <v>93431</v>
      </c>
      <c r="Y90" s="269">
        <v>93303</v>
      </c>
      <c r="Z90" s="283">
        <v>0</v>
      </c>
      <c r="AB90" s="284">
        <f>'App 1-Services'!G90</f>
        <v>268849</v>
      </c>
      <c r="AC90" s="9">
        <f t="shared" si="24"/>
        <v>268239.66026558971</v>
      </c>
      <c r="AD90" s="9">
        <f t="shared" si="25"/>
        <v>258778.27602583781</v>
      </c>
      <c r="AE90" s="9">
        <f t="shared" si="26"/>
        <v>258423.75108945367</v>
      </c>
      <c r="AF90" s="9">
        <f t="shared" si="27"/>
        <v>0</v>
      </c>
      <c r="AG90" s="280"/>
      <c r="AH90" s="147">
        <v>1</v>
      </c>
      <c r="AI90" s="266">
        <f t="shared" si="28"/>
        <v>93303</v>
      </c>
    </row>
    <row r="91" spans="1:35" x14ac:dyDescent="0.2">
      <c r="A91" s="376">
        <v>16100</v>
      </c>
      <c r="B91" s="376" t="s">
        <v>223</v>
      </c>
      <c r="C91" s="376" t="s">
        <v>293</v>
      </c>
      <c r="D91" s="404" t="s">
        <v>2</v>
      </c>
      <c r="E91" s="141"/>
      <c r="F91" s="144">
        <v>1170.3</v>
      </c>
      <c r="G91" s="145">
        <f t="shared" si="22"/>
        <v>18.723601689491872</v>
      </c>
      <c r="H91" s="146">
        <f t="shared" si="23"/>
        <v>13.064524319041713</v>
      </c>
      <c r="I91" s="321"/>
      <c r="J91" s="11"/>
      <c r="K91" s="156">
        <v>0</v>
      </c>
      <c r="L91" s="140"/>
      <c r="M91" s="140"/>
      <c r="N91" s="141"/>
      <c r="O91" s="147"/>
      <c r="P91" s="315"/>
      <c r="Q91" s="149"/>
      <c r="R91" s="314"/>
      <c r="S91" s="143"/>
      <c r="T91" s="149"/>
      <c r="V91" s="332">
        <f>'App 1-Services'!H91</f>
        <v>3733</v>
      </c>
      <c r="W91" s="267">
        <v>1202</v>
      </c>
      <c r="X91" s="268">
        <v>0</v>
      </c>
      <c r="Y91" s="269">
        <v>0</v>
      </c>
      <c r="Z91" s="283">
        <v>0</v>
      </c>
      <c r="AB91" s="284">
        <f>'App 1-Services'!G91</f>
        <v>5350</v>
      </c>
      <c r="AC91" s="9">
        <f t="shared" si="24"/>
        <v>1722.6627377444413</v>
      </c>
      <c r="AD91" s="9">
        <f t="shared" si="25"/>
        <v>0</v>
      </c>
      <c r="AE91" s="9">
        <f t="shared" si="26"/>
        <v>0</v>
      </c>
      <c r="AF91" s="9">
        <f t="shared" si="27"/>
        <v>0</v>
      </c>
      <c r="AG91" s="280"/>
      <c r="AH91" s="147"/>
      <c r="AI91" s="266">
        <f t="shared" si="28"/>
        <v>0</v>
      </c>
    </row>
    <row r="92" spans="1:35" x14ac:dyDescent="0.2">
      <c r="A92" s="376">
        <v>16150</v>
      </c>
      <c r="B92" s="376" t="s">
        <v>224</v>
      </c>
      <c r="C92" s="376" t="s">
        <v>293</v>
      </c>
      <c r="D92" s="404" t="s">
        <v>2</v>
      </c>
      <c r="E92" s="141"/>
      <c r="F92" s="144">
        <v>10013.27</v>
      </c>
      <c r="G92" s="145">
        <f t="shared" si="22"/>
        <v>11.472319607708348</v>
      </c>
      <c r="H92" s="146">
        <f t="shared" si="23"/>
        <v>4.9406596931770697</v>
      </c>
      <c r="I92" s="321"/>
      <c r="J92" s="11"/>
      <c r="K92" s="295">
        <v>3433.34</v>
      </c>
      <c r="L92" s="140">
        <f t="shared" ref="L92:L110" si="29">(K92*1000)/X92/52</f>
        <v>3.9486734783068731</v>
      </c>
      <c r="M92" s="140">
        <f t="shared" ref="M92:M110" si="30">(K92*1000)/AD92/52</f>
        <v>1.7005324609924375</v>
      </c>
      <c r="N92" s="141"/>
      <c r="O92" s="147"/>
      <c r="P92" s="315"/>
      <c r="Q92" s="149"/>
      <c r="R92" s="314">
        <v>5074.3599999999997</v>
      </c>
      <c r="S92" s="143">
        <f>(R92*1000)/Z92/52</f>
        <v>6.0051597633136096</v>
      </c>
      <c r="T92" s="149">
        <f>(R92*1000)/AF92/52</f>
        <v>2.5861771471008486</v>
      </c>
      <c r="V92" s="332">
        <f>'App 1-Services'!H92</f>
        <v>18241</v>
      </c>
      <c r="W92" s="267">
        <v>16785</v>
      </c>
      <c r="X92" s="268">
        <v>16721</v>
      </c>
      <c r="Y92" s="269">
        <v>0</v>
      </c>
      <c r="Z92" s="283">
        <v>16250</v>
      </c>
      <c r="AB92" s="284">
        <f>'App 1-Services'!G92</f>
        <v>42356</v>
      </c>
      <c r="AC92" s="9">
        <f t="shared" si="24"/>
        <v>38975.136231566248</v>
      </c>
      <c r="AD92" s="9">
        <f t="shared" si="25"/>
        <v>38826.526835151584</v>
      </c>
      <c r="AE92" s="9">
        <f t="shared" si="26"/>
        <v>0</v>
      </c>
      <c r="AF92" s="9">
        <f t="shared" si="27"/>
        <v>37732.854558412371</v>
      </c>
      <c r="AG92" s="280">
        <v>1</v>
      </c>
      <c r="AH92" s="147"/>
      <c r="AI92" s="266">
        <f t="shared" si="28"/>
        <v>16250</v>
      </c>
    </row>
    <row r="93" spans="1:35" x14ac:dyDescent="0.2">
      <c r="A93" s="376">
        <v>16200</v>
      </c>
      <c r="B93" s="376" t="s">
        <v>226</v>
      </c>
      <c r="C93" s="376" t="s">
        <v>293</v>
      </c>
      <c r="D93" s="404" t="s">
        <v>2</v>
      </c>
      <c r="E93" s="141"/>
      <c r="F93" s="144">
        <v>2165</v>
      </c>
      <c r="G93" s="145">
        <f t="shared" si="22"/>
        <v>8.3452826988605704</v>
      </c>
      <c r="H93" s="146">
        <f t="shared" si="23"/>
        <v>4.0833520512431027</v>
      </c>
      <c r="I93" s="321"/>
      <c r="J93" s="11"/>
      <c r="K93" s="156">
        <v>978.98</v>
      </c>
      <c r="L93" s="140">
        <f t="shared" si="29"/>
        <v>3.7736096335013958</v>
      </c>
      <c r="M93" s="140">
        <f t="shared" si="30"/>
        <v>1.8464295571020659</v>
      </c>
      <c r="N93" s="141"/>
      <c r="O93" s="147"/>
      <c r="P93" s="315"/>
      <c r="Q93" s="149"/>
      <c r="R93" s="314"/>
      <c r="S93" s="143"/>
      <c r="T93" s="149"/>
      <c r="V93" s="332">
        <f>'App 1-Services'!H93</f>
        <v>7500</v>
      </c>
      <c r="W93" s="267">
        <v>4989</v>
      </c>
      <c r="X93" s="268">
        <v>4989</v>
      </c>
      <c r="Y93" s="269">
        <v>0</v>
      </c>
      <c r="Z93" s="283">
        <v>0</v>
      </c>
      <c r="AB93" s="284">
        <f>'App 1-Services'!G93</f>
        <v>15328</v>
      </c>
      <c r="AC93" s="9">
        <f t="shared" si="24"/>
        <v>10196.185600000001</v>
      </c>
      <c r="AD93" s="9">
        <f t="shared" si="25"/>
        <v>10196.185600000001</v>
      </c>
      <c r="AE93" s="9">
        <f t="shared" si="26"/>
        <v>0</v>
      </c>
      <c r="AF93" s="9">
        <f t="shared" si="27"/>
        <v>0</v>
      </c>
      <c r="AG93" s="280"/>
      <c r="AH93" s="147"/>
      <c r="AI93" s="266">
        <f t="shared" si="28"/>
        <v>0</v>
      </c>
    </row>
    <row r="94" spans="1:35" x14ac:dyDescent="0.2">
      <c r="A94" s="376">
        <v>16260</v>
      </c>
      <c r="B94" s="376" t="s">
        <v>227</v>
      </c>
      <c r="C94" s="376" t="s">
        <v>129</v>
      </c>
      <c r="D94" s="404" t="s">
        <v>4</v>
      </c>
      <c r="E94" s="141"/>
      <c r="F94" s="144">
        <v>38901</v>
      </c>
      <c r="G94" s="145">
        <f t="shared" si="22"/>
        <v>12.083998091460778</v>
      </c>
      <c r="H94" s="146">
        <f t="shared" si="23"/>
        <v>3.3284877848002616</v>
      </c>
      <c r="I94" s="321"/>
      <c r="J94" s="11"/>
      <c r="K94" s="156">
        <v>11868</v>
      </c>
      <c r="L94" s="140">
        <f t="shared" si="29"/>
        <v>4.2060108956520876</v>
      </c>
      <c r="M94" s="140">
        <f t="shared" si="30"/>
        <v>1.1585284756712857</v>
      </c>
      <c r="N94" s="141"/>
      <c r="O94" s="147">
        <v>11787</v>
      </c>
      <c r="P94" s="315">
        <f>(O94*1000)/Y94/52</f>
        <v>5.8197406075400373</v>
      </c>
      <c r="Q94" s="149">
        <f>(O94*1000)/AE94/52</f>
        <v>1.6030237158504392</v>
      </c>
      <c r="R94" s="314"/>
      <c r="S94" s="143"/>
      <c r="T94" s="149"/>
      <c r="V94" s="332">
        <f>'App 1-Services'!H94</f>
        <v>65000</v>
      </c>
      <c r="W94" s="267">
        <v>61908</v>
      </c>
      <c r="X94" s="268">
        <v>54263</v>
      </c>
      <c r="Y94" s="269">
        <v>38949</v>
      </c>
      <c r="Z94" s="283">
        <v>0</v>
      </c>
      <c r="AB94" s="284">
        <f>'App 1-Services'!G94</f>
        <v>235981</v>
      </c>
      <c r="AC94" s="9">
        <f t="shared" si="24"/>
        <v>224755.56535384615</v>
      </c>
      <c r="AD94" s="9">
        <f t="shared" si="25"/>
        <v>197000.56927692308</v>
      </c>
      <c r="AE94" s="9">
        <f t="shared" si="26"/>
        <v>141403.44567692306</v>
      </c>
      <c r="AF94" s="9">
        <f t="shared" si="27"/>
        <v>0</v>
      </c>
      <c r="AG94" s="280"/>
      <c r="AH94" s="147">
        <v>1</v>
      </c>
      <c r="AI94" s="266">
        <f t="shared" si="28"/>
        <v>38949</v>
      </c>
    </row>
    <row r="95" spans="1:35" x14ac:dyDescent="0.2">
      <c r="A95" s="376">
        <v>16350</v>
      </c>
      <c r="B95" s="376" t="s">
        <v>228</v>
      </c>
      <c r="C95" s="376" t="s">
        <v>129</v>
      </c>
      <c r="D95" s="404" t="s">
        <v>4</v>
      </c>
      <c r="E95" s="141"/>
      <c r="F95" s="144">
        <v>32738</v>
      </c>
      <c r="G95" s="145">
        <f t="shared" si="22"/>
        <v>8.6941326687784546</v>
      </c>
      <c r="H95" s="146">
        <f t="shared" si="23"/>
        <v>3.1155452556311638</v>
      </c>
      <c r="I95" s="321"/>
      <c r="J95" s="11"/>
      <c r="K95" s="156">
        <v>19904</v>
      </c>
      <c r="L95" s="140">
        <f t="shared" si="29"/>
        <v>5.2858457034445099</v>
      </c>
      <c r="M95" s="140">
        <f t="shared" si="30"/>
        <v>1.8941845185436708</v>
      </c>
      <c r="N95" s="141"/>
      <c r="O95" s="147"/>
      <c r="P95" s="315"/>
      <c r="Q95" s="149"/>
      <c r="R95" s="314">
        <v>30764</v>
      </c>
      <c r="S95" s="143">
        <f>(R95*1000)/Z95/52</f>
        <v>10.538214902304677</v>
      </c>
      <c r="T95" s="149">
        <f>(R95*1000)/AF95/52</f>
        <v>3.776372720835186</v>
      </c>
      <c r="V95" s="332">
        <f>'App 1-Services'!H95</f>
        <v>72414</v>
      </c>
      <c r="W95" s="267">
        <v>72414</v>
      </c>
      <c r="X95" s="268">
        <v>72414</v>
      </c>
      <c r="Y95" s="269">
        <v>0</v>
      </c>
      <c r="Z95" s="283">
        <v>56140</v>
      </c>
      <c r="AB95" s="284">
        <f>'App 1-Services'!G95</f>
        <v>202076</v>
      </c>
      <c r="AC95" s="9">
        <f t="shared" si="24"/>
        <v>202076</v>
      </c>
      <c r="AD95" s="9">
        <f t="shared" si="25"/>
        <v>202076</v>
      </c>
      <c r="AE95" s="9">
        <f t="shared" si="26"/>
        <v>0</v>
      </c>
      <c r="AF95" s="9">
        <f t="shared" si="27"/>
        <v>156662.33932664953</v>
      </c>
      <c r="AG95" s="280">
        <v>1</v>
      </c>
      <c r="AH95" s="147"/>
      <c r="AI95" s="266">
        <f t="shared" si="28"/>
        <v>56140</v>
      </c>
    </row>
    <row r="96" spans="1:35" x14ac:dyDescent="0.2">
      <c r="A96" s="376">
        <v>16380</v>
      </c>
      <c r="B96" s="376" t="s">
        <v>187</v>
      </c>
      <c r="C96" s="376" t="s">
        <v>294</v>
      </c>
      <c r="D96" s="404" t="s">
        <v>5</v>
      </c>
      <c r="E96" s="141"/>
      <c r="F96" s="144">
        <v>10569</v>
      </c>
      <c r="G96" s="145">
        <f t="shared" si="22"/>
        <v>6.8954403582575656</v>
      </c>
      <c r="H96" s="146">
        <f t="shared" si="23"/>
        <v>2.9867114365980947</v>
      </c>
      <c r="I96" s="321"/>
      <c r="J96" s="11"/>
      <c r="K96" s="156">
        <v>8860</v>
      </c>
      <c r="L96" s="140">
        <f t="shared" si="29"/>
        <v>5.6615589096067582</v>
      </c>
      <c r="M96" s="140">
        <f t="shared" si="30"/>
        <v>2.4522643755516809</v>
      </c>
      <c r="N96" s="141"/>
      <c r="O96" s="147"/>
      <c r="P96" s="315"/>
      <c r="Q96" s="149"/>
      <c r="R96" s="314">
        <v>12859</v>
      </c>
      <c r="S96" s="143">
        <f>(R96*1000)/Z96/52</f>
        <v>8.6467520381293603</v>
      </c>
      <c r="T96" s="149">
        <f>(R96*1000)/AF96/52</f>
        <v>3.7452797587875519</v>
      </c>
      <c r="V96" s="332">
        <f>'App 1-Services'!H96</f>
        <v>34204</v>
      </c>
      <c r="W96" s="267">
        <v>29476</v>
      </c>
      <c r="X96" s="268">
        <v>30095</v>
      </c>
      <c r="Y96" s="269">
        <v>0</v>
      </c>
      <c r="Z96" s="283">
        <v>28599</v>
      </c>
      <c r="AB96" s="284">
        <f>'App 1-Services'!G96</f>
        <v>78967</v>
      </c>
      <c r="AC96" s="9">
        <f t="shared" si="24"/>
        <v>68051.435270728573</v>
      </c>
      <c r="AD96" s="9">
        <f t="shared" si="25"/>
        <v>69480.524646240199</v>
      </c>
      <c r="AE96" s="9">
        <f t="shared" si="26"/>
        <v>0</v>
      </c>
      <c r="AF96" s="9">
        <f t="shared" si="27"/>
        <v>66026.699596538412</v>
      </c>
      <c r="AG96" s="280">
        <v>1</v>
      </c>
      <c r="AH96" s="147"/>
      <c r="AI96" s="266">
        <f t="shared" si="28"/>
        <v>28599</v>
      </c>
    </row>
    <row r="97" spans="1:35" x14ac:dyDescent="0.2">
      <c r="A97" s="376">
        <v>16400</v>
      </c>
      <c r="B97" s="376" t="s">
        <v>229</v>
      </c>
      <c r="C97" s="376" t="s">
        <v>163</v>
      </c>
      <c r="D97" s="404" t="s">
        <v>3</v>
      </c>
      <c r="E97" s="141"/>
      <c r="F97" s="144">
        <v>27133</v>
      </c>
      <c r="G97" s="145">
        <f t="shared" si="22"/>
        <v>15.438441965159523</v>
      </c>
      <c r="H97" s="146">
        <f t="shared" si="23"/>
        <v>6.8427197960302184</v>
      </c>
      <c r="I97" s="321"/>
      <c r="J97" s="11"/>
      <c r="K97" s="156">
        <v>7378</v>
      </c>
      <c r="L97" s="140">
        <f t="shared" si="29"/>
        <v>4.1987634761072261</v>
      </c>
      <c r="M97" s="140">
        <f t="shared" si="30"/>
        <v>1.8610013900136906</v>
      </c>
      <c r="N97" s="141"/>
      <c r="O97" s="147"/>
      <c r="P97" s="315"/>
      <c r="Q97" s="149"/>
      <c r="R97" s="314"/>
      <c r="S97" s="143"/>
      <c r="T97" s="149"/>
      <c r="V97" s="332">
        <f>'App 1-Services'!H97</f>
        <v>31649</v>
      </c>
      <c r="W97" s="267">
        <v>33798</v>
      </c>
      <c r="X97" s="268">
        <v>33792</v>
      </c>
      <c r="Y97" s="269">
        <v>0</v>
      </c>
      <c r="Z97" s="283">
        <v>0</v>
      </c>
      <c r="AB97" s="284">
        <f>'App 1-Services'!G97</f>
        <v>71406</v>
      </c>
      <c r="AC97" s="9">
        <f t="shared" si="24"/>
        <v>76254.541628487466</v>
      </c>
      <c r="AD97" s="9">
        <f t="shared" si="25"/>
        <v>76241.004518310219</v>
      </c>
      <c r="AE97" s="9">
        <f t="shared" si="26"/>
        <v>0</v>
      </c>
      <c r="AF97" s="9">
        <f t="shared" si="27"/>
        <v>0</v>
      </c>
      <c r="AG97" s="280"/>
      <c r="AH97" s="147"/>
      <c r="AI97" s="266">
        <f t="shared" si="28"/>
        <v>0</v>
      </c>
    </row>
    <row r="98" spans="1:35" x14ac:dyDescent="0.2">
      <c r="A98" s="376">
        <v>16490</v>
      </c>
      <c r="B98" s="376" t="s">
        <v>225</v>
      </c>
      <c r="C98" s="376" t="s">
        <v>704</v>
      </c>
      <c r="D98" s="404" t="s">
        <v>2</v>
      </c>
      <c r="E98" s="141"/>
      <c r="F98" s="144">
        <v>9404.06</v>
      </c>
      <c r="G98" s="145">
        <f t="shared" si="22"/>
        <v>9.1670370890261399</v>
      </c>
      <c r="H98" s="146">
        <f t="shared" si="23"/>
        <v>3.8806494782808354</v>
      </c>
      <c r="I98" s="321"/>
      <c r="J98" s="11"/>
      <c r="K98" s="156">
        <v>3338.84</v>
      </c>
      <c r="L98" s="140">
        <f t="shared" si="29"/>
        <v>2.9576885871510217</v>
      </c>
      <c r="M98" s="140">
        <f t="shared" si="30"/>
        <v>1.252067877677163</v>
      </c>
      <c r="N98" s="141"/>
      <c r="O98" s="147">
        <v>2712</v>
      </c>
      <c r="P98" s="315">
        <f>(O98*1000)/Y98/52</f>
        <v>3.7394311431738836</v>
      </c>
      <c r="Q98" s="149">
        <f>(O98*1000)/AE98/52</f>
        <v>1.5830001966716667</v>
      </c>
      <c r="R98" s="314">
        <v>464.65</v>
      </c>
      <c r="S98" s="143">
        <f>(R98*1000)/Z98/52</f>
        <v>4.2918236902386759</v>
      </c>
      <c r="T98" s="149">
        <f>(R98*1000)/AF98/52</f>
        <v>1.8168425853033612</v>
      </c>
      <c r="V98" s="332">
        <f>'App 1-Services'!H98</f>
        <v>24271</v>
      </c>
      <c r="W98" s="267">
        <v>19728</v>
      </c>
      <c r="X98" s="268">
        <v>21709</v>
      </c>
      <c r="Y98" s="269">
        <v>13947</v>
      </c>
      <c r="Z98" s="283">
        <v>2082</v>
      </c>
      <c r="AB98" s="284">
        <f>'App 1-Services'!G98</f>
        <v>57334</v>
      </c>
      <c r="AC98" s="9">
        <f t="shared" si="24"/>
        <v>46602.330023484821</v>
      </c>
      <c r="AD98" s="9">
        <f t="shared" si="25"/>
        <v>51281.933418482964</v>
      </c>
      <c r="AE98" s="9">
        <f t="shared" si="26"/>
        <v>32946.203205471546</v>
      </c>
      <c r="AF98" s="9">
        <f t="shared" si="27"/>
        <v>4918.189938609863</v>
      </c>
      <c r="AG98" s="280">
        <v>1</v>
      </c>
      <c r="AH98" s="147">
        <v>1</v>
      </c>
      <c r="AI98" s="266">
        <f t="shared" si="28"/>
        <v>16029</v>
      </c>
    </row>
    <row r="99" spans="1:35" x14ac:dyDescent="0.2">
      <c r="A99" s="376">
        <v>16550</v>
      </c>
      <c r="B99" s="376" t="s">
        <v>230</v>
      </c>
      <c r="C99" s="376" t="s">
        <v>127</v>
      </c>
      <c r="D99" s="404" t="s">
        <v>4</v>
      </c>
      <c r="E99" s="141"/>
      <c r="F99" s="144">
        <v>27323</v>
      </c>
      <c r="G99" s="145">
        <f t="shared" si="22"/>
        <v>12.940335123563791</v>
      </c>
      <c r="H99" s="146">
        <f t="shared" si="23"/>
        <v>5.0633994735159282</v>
      </c>
      <c r="I99" s="321"/>
      <c r="J99" s="12"/>
      <c r="K99" s="295">
        <v>11300</v>
      </c>
      <c r="L99" s="140">
        <f t="shared" si="29"/>
        <v>5.2099662504841113</v>
      </c>
      <c r="M99" s="140">
        <f t="shared" si="30"/>
        <v>2.0385979279392781</v>
      </c>
      <c r="N99" s="141"/>
      <c r="O99" s="147">
        <f>6939+56</f>
        <v>6995</v>
      </c>
      <c r="P99" s="315">
        <f>(O99*1000)/Y99/52</f>
        <v>4.4187245267953479</v>
      </c>
      <c r="Q99" s="149">
        <f>(O99*1000)/AE99/52</f>
        <v>1.7289944370795947</v>
      </c>
      <c r="R99" s="314"/>
      <c r="S99" s="143"/>
      <c r="T99" s="149"/>
      <c r="V99" s="332">
        <f>'App 1-Services'!H99</f>
        <v>57679</v>
      </c>
      <c r="W99" s="267">
        <v>40605</v>
      </c>
      <c r="X99" s="268">
        <v>41710</v>
      </c>
      <c r="Y99" s="269">
        <v>30443</v>
      </c>
      <c r="Z99" s="283">
        <v>0</v>
      </c>
      <c r="AB99" s="284">
        <f>'App 1-Services'!G99</f>
        <v>147408</v>
      </c>
      <c r="AC99" s="9">
        <f t="shared" si="24"/>
        <v>103772.63544790998</v>
      </c>
      <c r="AD99" s="9">
        <f t="shared" si="25"/>
        <v>106596.64141195235</v>
      </c>
      <c r="AE99" s="9">
        <f t="shared" si="26"/>
        <v>77802.003224743836</v>
      </c>
      <c r="AF99" s="9">
        <f t="shared" si="27"/>
        <v>0</v>
      </c>
      <c r="AG99" s="280"/>
      <c r="AH99" s="147">
        <v>1</v>
      </c>
      <c r="AI99" s="266">
        <f t="shared" si="28"/>
        <v>30443</v>
      </c>
    </row>
    <row r="100" spans="1:35" x14ac:dyDescent="0.2">
      <c r="A100" s="376">
        <v>16610</v>
      </c>
      <c r="B100" s="376" t="s">
        <v>231</v>
      </c>
      <c r="C100" s="376" t="s">
        <v>131</v>
      </c>
      <c r="D100" s="404" t="s">
        <v>5</v>
      </c>
      <c r="E100" s="141"/>
      <c r="F100" s="144">
        <v>3261</v>
      </c>
      <c r="G100" s="145">
        <f t="shared" si="22"/>
        <v>8.3939952431452909</v>
      </c>
      <c r="H100" s="146">
        <f t="shared" si="23"/>
        <v>3.5444976071541539</v>
      </c>
      <c r="I100" s="321"/>
      <c r="J100" s="11"/>
      <c r="K100" s="295">
        <v>1926.72</v>
      </c>
      <c r="L100" s="140">
        <f t="shared" si="29"/>
        <v>4.9521929554006539</v>
      </c>
      <c r="M100" s="140">
        <f t="shared" si="30"/>
        <v>2.0911420095117932</v>
      </c>
      <c r="N100" s="141"/>
      <c r="O100" s="147"/>
      <c r="P100" s="315"/>
      <c r="Q100" s="149"/>
      <c r="R100" s="314">
        <v>3085</v>
      </c>
      <c r="S100" s="143">
        <f>(R100*1000)/Z100/52</f>
        <v>7.9473440156628365</v>
      </c>
      <c r="T100" s="149"/>
      <c r="V100" s="332">
        <f>'App 1-Services'!H100</f>
        <v>9892</v>
      </c>
      <c r="W100" s="267">
        <v>7471</v>
      </c>
      <c r="X100" s="268">
        <v>7482</v>
      </c>
      <c r="Y100" s="269">
        <v>0</v>
      </c>
      <c r="Z100" s="283">
        <v>7465</v>
      </c>
      <c r="AB100" s="284">
        <f>'App 1-Services'!G100</f>
        <v>23426</v>
      </c>
      <c r="AC100" s="9">
        <f t="shared" si="24"/>
        <v>17692.645167812374</v>
      </c>
      <c r="AD100" s="9">
        <f t="shared" si="25"/>
        <v>17718.695107157298</v>
      </c>
      <c r="AE100" s="9">
        <f t="shared" si="26"/>
        <v>0</v>
      </c>
      <c r="AF100" s="9">
        <f t="shared" si="27"/>
        <v>17678.43610998787</v>
      </c>
      <c r="AG100" s="280">
        <v>1</v>
      </c>
      <c r="AH100" s="147"/>
      <c r="AI100" s="266">
        <f t="shared" si="28"/>
        <v>7465</v>
      </c>
    </row>
    <row r="101" spans="1:35" x14ac:dyDescent="0.2">
      <c r="A101" s="376">
        <v>16700</v>
      </c>
      <c r="B101" s="376" t="s">
        <v>232</v>
      </c>
      <c r="C101" s="376" t="s">
        <v>190</v>
      </c>
      <c r="D101" s="404" t="s">
        <v>4</v>
      </c>
      <c r="E101" s="141"/>
      <c r="F101" s="144">
        <v>23610.12</v>
      </c>
      <c r="G101" s="145">
        <f t="shared" ref="G101:G132" si="31">(F101*1000)/W101/52</f>
        <v>13.68540763874881</v>
      </c>
      <c r="H101" s="146">
        <f t="shared" ref="H101:H132" si="32">(F101*1000)/AC101/52</f>
        <v>5.2507437157770607</v>
      </c>
      <c r="I101" s="321"/>
      <c r="J101" s="11"/>
      <c r="K101" s="156">
        <v>8964</v>
      </c>
      <c r="L101" s="140">
        <f t="shared" si="29"/>
        <v>5.042697539406622</v>
      </c>
      <c r="M101" s="140">
        <f t="shared" si="30"/>
        <v>1.9347551139532233</v>
      </c>
      <c r="N101" s="141"/>
      <c r="O101" s="147">
        <v>9051.9</v>
      </c>
      <c r="P101" s="315">
        <f>(O101*1000)/Y101/52</f>
        <v>6.3237911868347441</v>
      </c>
      <c r="Q101" s="149">
        <f>(O101*1000)/AE101/52</f>
        <v>2.4262782454607708</v>
      </c>
      <c r="R101" s="314"/>
      <c r="S101" s="143"/>
      <c r="T101" s="149"/>
      <c r="V101" s="332">
        <f>'App 1-Services'!H101</f>
        <v>45866</v>
      </c>
      <c r="W101" s="267">
        <v>33177</v>
      </c>
      <c r="X101" s="268">
        <v>34185</v>
      </c>
      <c r="Y101" s="269">
        <v>27527</v>
      </c>
      <c r="Z101" s="283">
        <v>0</v>
      </c>
      <c r="AB101" s="284">
        <f>'App 1-Services'!G101</f>
        <v>119544</v>
      </c>
      <c r="AC101" s="9">
        <f t="shared" ref="AC101:AC132" si="33">(W101/$V101)*$AB101</f>
        <v>86471.706449221645</v>
      </c>
      <c r="AD101" s="9">
        <f t="shared" ref="AD101:AD132" si="34">(X101/$V101)*$AB101</f>
        <v>89098.93254262417</v>
      </c>
      <c r="AE101" s="9">
        <f t="shared" ref="AE101:AE132" si="35">(Y101/$V101)*$AB101</f>
        <v>71745.6871756857</v>
      </c>
      <c r="AF101" s="9">
        <f t="shared" ref="AF101:AF132" si="36">(Z101/$V101)*$AB101</f>
        <v>0</v>
      </c>
      <c r="AG101" s="280"/>
      <c r="AH101" s="147">
        <v>1</v>
      </c>
      <c r="AI101" s="266">
        <f t="shared" ref="AI101:AI132" si="37">Y101+Z101</f>
        <v>27527</v>
      </c>
    </row>
    <row r="102" spans="1:35" x14ac:dyDescent="0.2">
      <c r="A102" s="376">
        <v>16900</v>
      </c>
      <c r="B102" s="376" t="s">
        <v>233</v>
      </c>
      <c r="C102" s="376" t="s">
        <v>291</v>
      </c>
      <c r="D102" s="404" t="s">
        <v>3</v>
      </c>
      <c r="E102" s="141"/>
      <c r="F102" s="144">
        <v>12529.48</v>
      </c>
      <c r="G102" s="145">
        <f t="shared" si="31"/>
        <v>9.3078200819538175</v>
      </c>
      <c r="H102" s="146">
        <f t="shared" si="32"/>
        <v>3.5348767334171032</v>
      </c>
      <c r="I102" s="321"/>
      <c r="J102" s="11"/>
      <c r="K102" s="156">
        <v>6860.12</v>
      </c>
      <c r="L102" s="140">
        <f t="shared" si="29"/>
        <v>5.108239162680424</v>
      </c>
      <c r="M102" s="140">
        <f t="shared" si="30"/>
        <v>1.9399811777516356</v>
      </c>
      <c r="N102" s="141"/>
      <c r="O102" s="147"/>
      <c r="P102" s="315"/>
      <c r="Q102" s="149"/>
      <c r="R102" s="314">
        <v>11560.15</v>
      </c>
      <c r="S102" s="143">
        <f>(R102*1000)/Z102/52</f>
        <v>9.1384296018036313</v>
      </c>
      <c r="T102" s="149">
        <f>(R102*1000)/AF102/52</f>
        <v>3.4705464754326196</v>
      </c>
      <c r="V102" s="332">
        <f>'App 1-Services'!H102</f>
        <v>26863</v>
      </c>
      <c r="W102" s="267">
        <v>25887</v>
      </c>
      <c r="X102" s="268">
        <v>25826</v>
      </c>
      <c r="Y102" s="269">
        <v>0</v>
      </c>
      <c r="Z102" s="283">
        <v>24327</v>
      </c>
      <c r="AB102" s="284">
        <f>'App 1-Services'!G102</f>
        <v>70734</v>
      </c>
      <c r="AC102" s="9">
        <f t="shared" si="33"/>
        <v>68164.056806760229</v>
      </c>
      <c r="AD102" s="9">
        <f t="shared" si="34"/>
        <v>68003.435357182752</v>
      </c>
      <c r="AE102" s="9">
        <f t="shared" si="35"/>
        <v>0</v>
      </c>
      <c r="AF102" s="9">
        <f t="shared" si="36"/>
        <v>64056.360719204858</v>
      </c>
      <c r="AG102" s="280">
        <v>1</v>
      </c>
      <c r="AH102" s="147"/>
      <c r="AI102" s="266">
        <f t="shared" si="37"/>
        <v>24327</v>
      </c>
    </row>
    <row r="103" spans="1:35" x14ac:dyDescent="0.2">
      <c r="A103" s="376">
        <v>16950</v>
      </c>
      <c r="B103" s="376" t="s">
        <v>234</v>
      </c>
      <c r="C103" s="376" t="s">
        <v>291</v>
      </c>
      <c r="D103" s="404" t="s">
        <v>3</v>
      </c>
      <c r="E103" s="141"/>
      <c r="F103" s="144">
        <v>27203</v>
      </c>
      <c r="G103" s="145">
        <f t="shared" si="31"/>
        <v>10.264384401063754</v>
      </c>
      <c r="H103" s="146">
        <f t="shared" si="32"/>
        <v>5.5148986934969706</v>
      </c>
      <c r="I103" s="321"/>
      <c r="J103" s="11"/>
      <c r="K103" s="156">
        <v>12501</v>
      </c>
      <c r="L103" s="140">
        <f t="shared" si="29"/>
        <v>4.6932793111267621</v>
      </c>
      <c r="M103" s="140">
        <f t="shared" si="30"/>
        <v>2.5216280811216452</v>
      </c>
      <c r="N103" s="141"/>
      <c r="O103" s="147"/>
      <c r="P103" s="315"/>
      <c r="Q103" s="149"/>
      <c r="R103" s="314"/>
      <c r="S103" s="143"/>
      <c r="T103" s="149"/>
      <c r="V103" s="332">
        <f>'App 1-Services'!H103</f>
        <v>54514</v>
      </c>
      <c r="W103" s="267">
        <v>50966</v>
      </c>
      <c r="X103" s="268">
        <v>51223</v>
      </c>
      <c r="Y103" s="269">
        <v>0</v>
      </c>
      <c r="Z103" s="283">
        <v>0</v>
      </c>
      <c r="AB103" s="284">
        <f>'App 1-Services'!G103</f>
        <v>101462</v>
      </c>
      <c r="AC103" s="9">
        <f t="shared" si="33"/>
        <v>94858.427046263343</v>
      </c>
      <c r="AD103" s="9">
        <f t="shared" si="34"/>
        <v>95336.758007117431</v>
      </c>
      <c r="AE103" s="9">
        <f t="shared" si="35"/>
        <v>0</v>
      </c>
      <c r="AF103" s="9">
        <f t="shared" si="36"/>
        <v>0</v>
      </c>
      <c r="AG103" s="280"/>
      <c r="AH103" s="147"/>
      <c r="AI103" s="266">
        <f t="shared" si="37"/>
        <v>0</v>
      </c>
    </row>
    <row r="104" spans="1:35" x14ac:dyDescent="0.2">
      <c r="A104" s="376">
        <v>17000</v>
      </c>
      <c r="B104" s="376" t="s">
        <v>235</v>
      </c>
      <c r="C104" s="376" t="s">
        <v>163</v>
      </c>
      <c r="D104" s="404" t="s">
        <v>5</v>
      </c>
      <c r="E104" s="148"/>
      <c r="F104" s="144">
        <v>6338.15</v>
      </c>
      <c r="G104" s="145">
        <f t="shared" si="31"/>
        <v>13.538542707986227</v>
      </c>
      <c r="H104" s="146">
        <f t="shared" si="32"/>
        <v>4.5475459110570915</v>
      </c>
      <c r="I104" s="321"/>
      <c r="J104" s="11"/>
      <c r="K104" s="295">
        <v>2073.46</v>
      </c>
      <c r="L104" s="140">
        <f t="shared" si="29"/>
        <v>4.4378665296862287</v>
      </c>
      <c r="M104" s="140">
        <f t="shared" si="30"/>
        <v>1.4906627859575288</v>
      </c>
      <c r="N104" s="148"/>
      <c r="O104" s="147">
        <v>550.07000000000005</v>
      </c>
      <c r="P104" s="315">
        <f>(O104*1000)/Y104/52</f>
        <v>1.4728862755178544</v>
      </c>
      <c r="Q104" s="149">
        <f>(O104*1000)/AE104/52</f>
        <v>0.49473699674723826</v>
      </c>
      <c r="R104" s="314"/>
      <c r="S104" s="143"/>
      <c r="T104" s="149"/>
      <c r="V104" s="332">
        <f>'App 1-Services'!H104</f>
        <v>8082</v>
      </c>
      <c r="W104" s="267">
        <v>9003</v>
      </c>
      <c r="X104" s="268">
        <v>8985</v>
      </c>
      <c r="Y104" s="269">
        <v>7182</v>
      </c>
      <c r="Z104" s="283">
        <v>0</v>
      </c>
      <c r="AB104" s="284">
        <f>'App 1-Services'!G104</f>
        <v>24061</v>
      </c>
      <c r="AC104" s="9">
        <f t="shared" si="33"/>
        <v>26802.91796585004</v>
      </c>
      <c r="AD104" s="9">
        <f t="shared" si="34"/>
        <v>26749.329992576098</v>
      </c>
      <c r="AE104" s="9">
        <f t="shared" si="35"/>
        <v>21381.601336302894</v>
      </c>
      <c r="AF104" s="9">
        <f t="shared" si="36"/>
        <v>0</v>
      </c>
      <c r="AG104" s="280"/>
      <c r="AH104" s="147">
        <v>1</v>
      </c>
      <c r="AI104" s="266">
        <f t="shared" si="37"/>
        <v>7182</v>
      </c>
    </row>
    <row r="105" spans="1:35" x14ac:dyDescent="0.2">
      <c r="A105" s="376">
        <v>17040</v>
      </c>
      <c r="B105" s="376" t="s">
        <v>147</v>
      </c>
      <c r="C105" s="376" t="s">
        <v>704</v>
      </c>
      <c r="D105" s="404" t="s">
        <v>2</v>
      </c>
      <c r="E105" s="148"/>
      <c r="F105" s="144">
        <v>2490.36</v>
      </c>
      <c r="G105" s="145">
        <f t="shared" si="31"/>
        <v>11.391897826246066</v>
      </c>
      <c r="H105" s="146">
        <f t="shared" si="32"/>
        <v>4.6004062486066495</v>
      </c>
      <c r="I105" s="321"/>
      <c r="J105" s="277"/>
      <c r="K105" s="295">
        <v>799.32</v>
      </c>
      <c r="L105" s="140">
        <f t="shared" si="29"/>
        <v>2.0873897965152719</v>
      </c>
      <c r="M105" s="140">
        <f t="shared" si="30"/>
        <v>0.84295358066172277</v>
      </c>
      <c r="N105" s="148"/>
      <c r="O105" s="147"/>
      <c r="P105" s="315"/>
      <c r="Q105" s="149"/>
      <c r="R105" s="314">
        <v>777.46</v>
      </c>
      <c r="S105" s="143">
        <f>(R105*1000)/Z105/52</f>
        <v>4.8229528535980144</v>
      </c>
      <c r="T105" s="149">
        <f>(R105*1000)/AF105/52</f>
        <v>1.9476598880047153</v>
      </c>
      <c r="V105" s="332">
        <f>'App 1-Services'!H105</f>
        <v>8432</v>
      </c>
      <c r="W105" s="267">
        <v>4204</v>
      </c>
      <c r="X105" s="268">
        <v>7364</v>
      </c>
      <c r="Y105" s="269">
        <v>0</v>
      </c>
      <c r="Z105" s="283">
        <v>3100</v>
      </c>
      <c r="AB105" s="284">
        <f>'App 1-Services'!G105</f>
        <v>20880</v>
      </c>
      <c r="AC105" s="9">
        <f t="shared" si="33"/>
        <v>10410.284629981024</v>
      </c>
      <c r="AD105" s="9">
        <f t="shared" si="34"/>
        <v>18235.332068311196</v>
      </c>
      <c r="AE105" s="9">
        <f t="shared" si="35"/>
        <v>0</v>
      </c>
      <c r="AF105" s="9">
        <f t="shared" si="36"/>
        <v>7676.4705882352946</v>
      </c>
      <c r="AG105" s="280">
        <v>1</v>
      </c>
      <c r="AH105" s="147"/>
      <c r="AI105" s="266">
        <f t="shared" si="37"/>
        <v>3100</v>
      </c>
    </row>
    <row r="106" spans="1:35" x14ac:dyDescent="0.2">
      <c r="A106" s="376">
        <v>17080</v>
      </c>
      <c r="B106" s="376" t="s">
        <v>242</v>
      </c>
      <c r="C106" s="376" t="s">
        <v>142</v>
      </c>
      <c r="D106" s="404" t="s">
        <v>2</v>
      </c>
      <c r="E106" s="141"/>
      <c r="F106" s="144">
        <v>3481.9</v>
      </c>
      <c r="G106" s="145">
        <f t="shared" si="31"/>
        <v>11.851259360108916</v>
      </c>
      <c r="H106" s="146">
        <f t="shared" si="32"/>
        <v>4.5406277119394192</v>
      </c>
      <c r="I106" s="321"/>
      <c r="J106" s="11"/>
      <c r="K106" s="156">
        <v>1726</v>
      </c>
      <c r="L106" s="140">
        <f t="shared" si="29"/>
        <v>5.8457745143197766</v>
      </c>
      <c r="M106" s="140">
        <f t="shared" si="30"/>
        <v>2.2397185776571877</v>
      </c>
      <c r="N106" s="141"/>
      <c r="O106" s="147"/>
      <c r="P106" s="315"/>
      <c r="Q106" s="149"/>
      <c r="R106" s="314"/>
      <c r="S106" s="143"/>
      <c r="T106" s="149"/>
      <c r="V106" s="332">
        <f>'App 1-Services'!H106</f>
        <v>5752</v>
      </c>
      <c r="W106" s="267">
        <v>5650</v>
      </c>
      <c r="X106" s="268">
        <v>5678</v>
      </c>
      <c r="Y106" s="269">
        <v>0</v>
      </c>
      <c r="Z106" s="283">
        <v>0</v>
      </c>
      <c r="AB106" s="284">
        <f>'App 1-Services'!G106</f>
        <v>15013</v>
      </c>
      <c r="AC106" s="9">
        <f t="shared" si="33"/>
        <v>14746.775034770513</v>
      </c>
      <c r="AD106" s="9">
        <f t="shared" si="34"/>
        <v>14819.856397774687</v>
      </c>
      <c r="AE106" s="9">
        <f t="shared" si="35"/>
        <v>0</v>
      </c>
      <c r="AF106" s="9">
        <f t="shared" si="36"/>
        <v>0</v>
      </c>
      <c r="AG106" s="280"/>
      <c r="AH106" s="147"/>
      <c r="AI106" s="266">
        <f t="shared" si="37"/>
        <v>0</v>
      </c>
    </row>
    <row r="107" spans="1:35" x14ac:dyDescent="0.2">
      <c r="A107" s="376">
        <v>17100</v>
      </c>
      <c r="B107" s="376" t="s">
        <v>236</v>
      </c>
      <c r="C107" s="376"/>
      <c r="D107" s="404" t="s">
        <v>4</v>
      </c>
      <c r="E107" s="141"/>
      <c r="F107" s="144">
        <v>9170.24</v>
      </c>
      <c r="G107" s="145">
        <f t="shared" si="31"/>
        <v>19.897412753104955</v>
      </c>
      <c r="H107" s="146">
        <f t="shared" si="32"/>
        <v>5.6549979071759378</v>
      </c>
      <c r="I107" s="321"/>
      <c r="J107" s="11"/>
      <c r="K107" s="156">
        <v>2659.73</v>
      </c>
      <c r="L107" s="140">
        <f t="shared" si="29"/>
        <v>6.706261157224839</v>
      </c>
      <c r="M107" s="140">
        <f t="shared" si="30"/>
        <v>1.905971056622112</v>
      </c>
      <c r="N107" s="141"/>
      <c r="O107" s="147">
        <v>1765.68</v>
      </c>
      <c r="P107" s="315">
        <f>(O107*1000)/Y107/52</f>
        <v>8.6050138406955448</v>
      </c>
      <c r="Q107" s="149">
        <f>(O107*1000)/AE107/52</f>
        <v>2.4456111889602208</v>
      </c>
      <c r="R107" s="314"/>
      <c r="S107" s="143"/>
      <c r="T107" s="149"/>
      <c r="V107" s="332">
        <f>'App 1-Services'!H107</f>
        <v>11642</v>
      </c>
      <c r="W107" s="267">
        <v>8863</v>
      </c>
      <c r="X107" s="268">
        <v>7627</v>
      </c>
      <c r="Y107" s="269">
        <v>3946</v>
      </c>
      <c r="Z107" s="283">
        <v>0</v>
      </c>
      <c r="AB107" s="284">
        <f>'App 1-Services'!G107</f>
        <v>40963</v>
      </c>
      <c r="AC107" s="9">
        <f t="shared" si="33"/>
        <v>31184.939786978182</v>
      </c>
      <c r="AD107" s="9">
        <f t="shared" si="34"/>
        <v>26836.007644734582</v>
      </c>
      <c r="AE107" s="9">
        <f t="shared" si="35"/>
        <v>13884.212162858616</v>
      </c>
      <c r="AF107" s="9">
        <f t="shared" si="36"/>
        <v>0</v>
      </c>
      <c r="AG107" s="280"/>
      <c r="AH107" s="147">
        <v>1</v>
      </c>
      <c r="AI107" s="266">
        <f t="shared" si="37"/>
        <v>3946</v>
      </c>
    </row>
    <row r="108" spans="1:35" x14ac:dyDescent="0.2">
      <c r="A108" s="376">
        <v>17150</v>
      </c>
      <c r="B108" s="376" t="s">
        <v>237</v>
      </c>
      <c r="C108" s="376" t="s">
        <v>127</v>
      </c>
      <c r="D108" s="404" t="s">
        <v>4</v>
      </c>
      <c r="E108" s="141"/>
      <c r="F108" s="144">
        <v>42450</v>
      </c>
      <c r="G108" s="145">
        <f t="shared" si="31"/>
        <v>9.7488136072769098</v>
      </c>
      <c r="H108" s="146">
        <f t="shared" si="32"/>
        <v>4.0663229981714686</v>
      </c>
      <c r="I108" s="321"/>
      <c r="J108" s="11"/>
      <c r="K108" s="295">
        <v>23857</v>
      </c>
      <c r="L108" s="140">
        <f t="shared" si="29"/>
        <v>5.478856212692703</v>
      </c>
      <c r="M108" s="140">
        <f t="shared" si="30"/>
        <v>2.2852831040607002</v>
      </c>
      <c r="N108" s="141"/>
      <c r="O108" s="147">
        <v>28682</v>
      </c>
      <c r="P108" s="315">
        <f>(O108*1000)/Y108/52</f>
        <v>6.5869369112818923</v>
      </c>
      <c r="Q108" s="149">
        <f>(O108*1000)/AE108/52</f>
        <v>2.7474741162203551</v>
      </c>
      <c r="R108" s="314"/>
      <c r="S108" s="143"/>
      <c r="T108" s="149"/>
      <c r="V108" s="332">
        <f>'App 1-Services'!H108</f>
        <v>94814</v>
      </c>
      <c r="W108" s="267">
        <v>83738</v>
      </c>
      <c r="X108" s="268">
        <v>83738</v>
      </c>
      <c r="Y108" s="269">
        <v>83738</v>
      </c>
      <c r="Z108" s="283">
        <v>0</v>
      </c>
      <c r="AB108" s="284">
        <f>'App 1-Services'!G108</f>
        <v>227312</v>
      </c>
      <c r="AC108" s="9">
        <f t="shared" si="33"/>
        <v>200757.82327504377</v>
      </c>
      <c r="AD108" s="9">
        <f t="shared" si="34"/>
        <v>200757.82327504377</v>
      </c>
      <c r="AE108" s="9">
        <f t="shared" si="35"/>
        <v>200757.82327504377</v>
      </c>
      <c r="AF108" s="9">
        <f t="shared" si="36"/>
        <v>0</v>
      </c>
      <c r="AG108" s="280"/>
      <c r="AH108" s="147">
        <v>1</v>
      </c>
      <c r="AI108" s="266">
        <f t="shared" si="37"/>
        <v>83738</v>
      </c>
    </row>
    <row r="109" spans="1:35" x14ac:dyDescent="0.2">
      <c r="A109" s="376">
        <v>17200</v>
      </c>
      <c r="B109" s="376" t="s">
        <v>238</v>
      </c>
      <c r="C109" s="376" t="s">
        <v>127</v>
      </c>
      <c r="D109" s="404" t="s">
        <v>4</v>
      </c>
      <c r="E109" s="141"/>
      <c r="F109" s="144">
        <v>45062</v>
      </c>
      <c r="G109" s="145">
        <f t="shared" si="31"/>
        <v>8.1390887948542154</v>
      </c>
      <c r="H109" s="146">
        <f t="shared" si="32"/>
        <v>4.5707251381051677</v>
      </c>
      <c r="I109" s="321"/>
      <c r="J109" s="11"/>
      <c r="K109" s="156">
        <v>14670</v>
      </c>
      <c r="L109" s="140">
        <f t="shared" si="29"/>
        <v>2.6496922600086843</v>
      </c>
      <c r="M109" s="140">
        <f t="shared" si="30"/>
        <v>1.4880062530736056</v>
      </c>
      <c r="N109" s="141"/>
      <c r="O109" s="147">
        <v>1047</v>
      </c>
      <c r="P109" s="315">
        <f>(O109*1000)/Y109/52</f>
        <v>2.21673625284767</v>
      </c>
      <c r="Q109" s="149">
        <f>(O109*1000)/AE109/52</f>
        <v>1.2448681137187889</v>
      </c>
      <c r="R109" s="314"/>
      <c r="S109" s="143"/>
      <c r="T109" s="149"/>
      <c r="V109" s="332">
        <f>'App 1-Services'!H109</f>
        <v>118454</v>
      </c>
      <c r="W109" s="267">
        <v>106471</v>
      </c>
      <c r="X109" s="268">
        <v>106471</v>
      </c>
      <c r="Y109" s="269">
        <v>9083</v>
      </c>
      <c r="Z109" s="283">
        <v>0</v>
      </c>
      <c r="AB109" s="284">
        <f>'App 1-Services'!G109</f>
        <v>210931</v>
      </c>
      <c r="AC109" s="9">
        <f t="shared" si="33"/>
        <v>189592.8757239097</v>
      </c>
      <c r="AD109" s="9">
        <f t="shared" si="34"/>
        <v>189592.8757239097</v>
      </c>
      <c r="AE109" s="9">
        <f t="shared" si="35"/>
        <v>16174.095201512824</v>
      </c>
      <c r="AF109" s="9">
        <f t="shared" si="36"/>
        <v>0</v>
      </c>
      <c r="AG109" s="280"/>
      <c r="AH109" s="147">
        <v>1</v>
      </c>
      <c r="AI109" s="266">
        <f t="shared" si="37"/>
        <v>9083</v>
      </c>
    </row>
    <row r="110" spans="1:35" x14ac:dyDescent="0.2">
      <c r="A110" s="376">
        <v>17310</v>
      </c>
      <c r="B110" s="376" t="s">
        <v>239</v>
      </c>
      <c r="C110" s="376" t="s">
        <v>125</v>
      </c>
      <c r="D110" s="404" t="s">
        <v>2</v>
      </c>
      <c r="E110" s="141"/>
      <c r="F110" s="144">
        <v>13602.3</v>
      </c>
      <c r="G110" s="145">
        <f t="shared" si="31"/>
        <v>10.317215914951971</v>
      </c>
      <c r="H110" s="146">
        <f t="shared" si="32"/>
        <v>3.9809762250476499</v>
      </c>
      <c r="I110" s="321"/>
      <c r="J110" s="11"/>
      <c r="K110" s="156">
        <v>4883.1000000000004</v>
      </c>
      <c r="L110" s="140">
        <f t="shared" si="29"/>
        <v>3.9380092774792095</v>
      </c>
      <c r="M110" s="140">
        <f t="shared" si="30"/>
        <v>1.5195108289768484</v>
      </c>
      <c r="N110" s="141"/>
      <c r="O110" s="147">
        <v>5201.8999999999996</v>
      </c>
      <c r="P110" s="315">
        <f>(O110*1000)/Y110/52</f>
        <v>4.4783122240817645</v>
      </c>
      <c r="Q110" s="149">
        <f>(O110*1000)/AE110/52</f>
        <v>1.727990830023524</v>
      </c>
      <c r="R110" s="314"/>
      <c r="S110" s="143"/>
      <c r="T110" s="149"/>
      <c r="V110" s="332">
        <f>'App 1-Services'!H110</f>
        <v>23846</v>
      </c>
      <c r="W110" s="267">
        <v>25354</v>
      </c>
      <c r="X110" s="268">
        <v>23846</v>
      </c>
      <c r="Y110" s="269">
        <v>22338</v>
      </c>
      <c r="Z110" s="283">
        <v>0</v>
      </c>
      <c r="AB110" s="284">
        <f>'App 1-Services'!G110</f>
        <v>61800</v>
      </c>
      <c r="AC110" s="9">
        <f t="shared" si="33"/>
        <v>65708.177472112715</v>
      </c>
      <c r="AD110" s="9">
        <f t="shared" si="34"/>
        <v>61800</v>
      </c>
      <c r="AE110" s="9">
        <f t="shared" si="35"/>
        <v>57891.822527887271</v>
      </c>
      <c r="AF110" s="9">
        <f t="shared" si="36"/>
        <v>0</v>
      </c>
      <c r="AG110" s="280"/>
      <c r="AH110" s="147">
        <v>1</v>
      </c>
      <c r="AI110" s="266">
        <f t="shared" si="37"/>
        <v>22338</v>
      </c>
    </row>
    <row r="111" spans="1:35" x14ac:dyDescent="0.2">
      <c r="A111" s="376">
        <v>17350</v>
      </c>
      <c r="B111" s="376" t="s">
        <v>240</v>
      </c>
      <c r="C111" s="376" t="s">
        <v>142</v>
      </c>
      <c r="D111" s="404" t="s">
        <v>2</v>
      </c>
      <c r="E111" s="148"/>
      <c r="F111" s="144">
        <v>2310</v>
      </c>
      <c r="G111" s="145">
        <f t="shared" si="31"/>
        <v>20.210681038706518</v>
      </c>
      <c r="H111" s="146">
        <f t="shared" si="32"/>
        <v>12.246583829137375</v>
      </c>
      <c r="I111" s="321"/>
      <c r="J111" s="275"/>
      <c r="K111" s="156">
        <v>0</v>
      </c>
      <c r="L111" s="140"/>
      <c r="M111" s="140"/>
      <c r="N111" s="148"/>
      <c r="O111" s="147"/>
      <c r="P111" s="315"/>
      <c r="Q111" s="149"/>
      <c r="R111" s="314"/>
      <c r="S111" s="143"/>
      <c r="T111" s="149"/>
      <c r="V111" s="332">
        <f>'App 1-Services'!H111</f>
        <v>3689</v>
      </c>
      <c r="W111" s="267">
        <v>2198</v>
      </c>
      <c r="X111" s="268">
        <v>0</v>
      </c>
      <c r="Y111" s="269">
        <v>0</v>
      </c>
      <c r="Z111" s="283">
        <v>0</v>
      </c>
      <c r="AB111" s="284">
        <f>'App 1-Services'!G111</f>
        <v>6088</v>
      </c>
      <c r="AC111" s="9">
        <f t="shared" si="33"/>
        <v>3627.3851992409868</v>
      </c>
      <c r="AD111" s="9">
        <f t="shared" si="34"/>
        <v>0</v>
      </c>
      <c r="AE111" s="9">
        <f t="shared" si="35"/>
        <v>0</v>
      </c>
      <c r="AF111" s="9">
        <f t="shared" si="36"/>
        <v>0</v>
      </c>
      <c r="AG111" s="280"/>
      <c r="AH111" s="147"/>
      <c r="AI111" s="266">
        <f t="shared" si="37"/>
        <v>0</v>
      </c>
    </row>
    <row r="112" spans="1:35" x14ac:dyDescent="0.2">
      <c r="A112" s="376">
        <v>17400</v>
      </c>
      <c r="B112" s="376" t="s">
        <v>241</v>
      </c>
      <c r="C112" s="376" t="s">
        <v>125</v>
      </c>
      <c r="D112" s="404" t="s">
        <v>2</v>
      </c>
      <c r="E112" s="141"/>
      <c r="F112" s="144">
        <v>1729</v>
      </c>
      <c r="G112" s="145">
        <f t="shared" si="31"/>
        <v>15.372168284789645</v>
      </c>
      <c r="H112" s="146">
        <f t="shared" si="32"/>
        <v>9.9314079555184005</v>
      </c>
      <c r="I112" s="321"/>
      <c r="J112" s="11"/>
      <c r="K112" s="156">
        <v>543</v>
      </c>
      <c r="L112" s="140">
        <f t="shared" ref="L112:L119" si="38">(K112*1000)/X112/52</f>
        <v>5.3993317954021158</v>
      </c>
      <c r="M112" s="140">
        <f t="shared" ref="M112:M119" si="39">(K112*1000)/AD112/52</f>
        <v>3.4883150999848564</v>
      </c>
      <c r="N112" s="141"/>
      <c r="O112" s="147"/>
      <c r="P112" s="315"/>
      <c r="Q112" s="149"/>
      <c r="R112" s="314"/>
      <c r="S112" s="143"/>
      <c r="T112" s="149"/>
      <c r="V112" s="332">
        <f>'App 1-Services'!H112</f>
        <v>4547</v>
      </c>
      <c r="W112" s="267">
        <v>2163</v>
      </c>
      <c r="X112" s="268">
        <v>1934</v>
      </c>
      <c r="Y112" s="269">
        <v>0</v>
      </c>
      <c r="Z112" s="283">
        <v>0</v>
      </c>
      <c r="AB112" s="284">
        <f>'App 1-Services'!G112</f>
        <v>7038</v>
      </c>
      <c r="AC112" s="9">
        <f t="shared" si="33"/>
        <v>3347.9643721134817</v>
      </c>
      <c r="AD112" s="9">
        <f t="shared" si="34"/>
        <v>2993.5104464482079</v>
      </c>
      <c r="AE112" s="9">
        <f t="shared" si="35"/>
        <v>0</v>
      </c>
      <c r="AF112" s="9">
        <f t="shared" si="36"/>
        <v>0</v>
      </c>
      <c r="AG112" s="280"/>
      <c r="AH112" s="147"/>
      <c r="AI112" s="266">
        <f t="shared" si="37"/>
        <v>0</v>
      </c>
    </row>
    <row r="113" spans="1:35" x14ac:dyDescent="0.2">
      <c r="A113" s="376">
        <v>17420</v>
      </c>
      <c r="B113" s="376" t="s">
        <v>136</v>
      </c>
      <c r="C113" s="376" t="s">
        <v>129</v>
      </c>
      <c r="D113" s="404" t="s">
        <v>4</v>
      </c>
      <c r="E113" s="141"/>
      <c r="F113" s="144">
        <v>42098.74</v>
      </c>
      <c r="G113" s="145">
        <f t="shared" si="31"/>
        <v>16.785005159251007</v>
      </c>
      <c r="H113" s="146">
        <f t="shared" si="32"/>
        <v>5.3736827053509213</v>
      </c>
      <c r="I113" s="321"/>
      <c r="J113" s="11"/>
      <c r="K113" s="156">
        <v>15982.1</v>
      </c>
      <c r="L113" s="140">
        <f t="shared" si="38"/>
        <v>5.7579541557022917</v>
      </c>
      <c r="M113" s="140">
        <f t="shared" si="39"/>
        <v>1.8433964345639533</v>
      </c>
      <c r="N113" s="141"/>
      <c r="O113" s="147">
        <v>18844.12</v>
      </c>
      <c r="P113" s="315">
        <f>(O113*1000)/Y113/52</f>
        <v>8.5215379550609764</v>
      </c>
      <c r="Q113" s="149">
        <f>(O113*1000)/AE113/52</f>
        <v>2.728151746016263</v>
      </c>
      <c r="R113" s="314"/>
      <c r="S113" s="143"/>
      <c r="T113" s="149"/>
      <c r="V113" s="332">
        <f>'App 1-Services'!H113</f>
        <v>52761</v>
      </c>
      <c r="W113" s="267">
        <v>48233</v>
      </c>
      <c r="X113" s="268">
        <v>53378</v>
      </c>
      <c r="Y113" s="269">
        <v>42526</v>
      </c>
      <c r="Z113" s="283">
        <v>0</v>
      </c>
      <c r="AB113" s="284">
        <f>'App 1-Services'!G113</f>
        <v>164802</v>
      </c>
      <c r="AC113" s="9">
        <f t="shared" si="33"/>
        <v>150658.53312105531</v>
      </c>
      <c r="AD113" s="9">
        <f t="shared" si="34"/>
        <v>166729.23477568658</v>
      </c>
      <c r="AE113" s="9">
        <f t="shared" si="35"/>
        <v>132832.39233524763</v>
      </c>
      <c r="AF113" s="9">
        <f t="shared" si="36"/>
        <v>0</v>
      </c>
      <c r="AG113" s="280"/>
      <c r="AH113" s="147">
        <v>1</v>
      </c>
      <c r="AI113" s="266">
        <f t="shared" si="37"/>
        <v>42526</v>
      </c>
    </row>
    <row r="114" spans="1:35" x14ac:dyDescent="0.2">
      <c r="A114" s="376">
        <v>17550</v>
      </c>
      <c r="B114" s="376" t="s">
        <v>243</v>
      </c>
      <c r="C114" s="376" t="s">
        <v>131</v>
      </c>
      <c r="D114" s="404" t="s">
        <v>5</v>
      </c>
      <c r="E114" s="141"/>
      <c r="F114" s="144">
        <v>19277</v>
      </c>
      <c r="G114" s="145">
        <f t="shared" si="31"/>
        <v>10.755237857187492</v>
      </c>
      <c r="H114" s="146">
        <f t="shared" si="32"/>
        <v>4.2180768186116815</v>
      </c>
      <c r="I114" s="321"/>
      <c r="J114" s="11"/>
      <c r="K114" s="156">
        <v>11391</v>
      </c>
      <c r="L114" s="140">
        <f t="shared" si="38"/>
        <v>6.0443047378095116</v>
      </c>
      <c r="M114" s="140">
        <f t="shared" si="39"/>
        <v>2.3705046822503397</v>
      </c>
      <c r="N114" s="141"/>
      <c r="O114" s="147">
        <v>5981</v>
      </c>
      <c r="P114" s="315">
        <f>(O114*1000)/Y114/52</f>
        <v>6.3913775710841723</v>
      </c>
      <c r="Q114" s="149">
        <f>(O114*1000)/AE114/52</f>
        <v>2.5066225340212682</v>
      </c>
      <c r="R114" s="314"/>
      <c r="S114" s="143"/>
      <c r="T114" s="149"/>
      <c r="V114" s="332">
        <f>'App 1-Services'!H114</f>
        <v>36870</v>
      </c>
      <c r="W114" s="267">
        <v>34468</v>
      </c>
      <c r="X114" s="268">
        <v>36242</v>
      </c>
      <c r="Y114" s="269">
        <v>17996</v>
      </c>
      <c r="Z114" s="283">
        <v>0</v>
      </c>
      <c r="AB114" s="284">
        <f>'App 1-Services'!G114</f>
        <v>94011</v>
      </c>
      <c r="AC114" s="9">
        <f t="shared" si="33"/>
        <v>87886.388608624897</v>
      </c>
      <c r="AD114" s="9">
        <f t="shared" si="34"/>
        <v>92409.72774613506</v>
      </c>
      <c r="AE114" s="9">
        <f t="shared" si="35"/>
        <v>45886.139300244104</v>
      </c>
      <c r="AF114" s="9">
        <f t="shared" si="36"/>
        <v>0</v>
      </c>
      <c r="AG114" s="280"/>
      <c r="AH114" s="147">
        <v>1</v>
      </c>
      <c r="AI114" s="266">
        <f t="shared" si="37"/>
        <v>17996</v>
      </c>
    </row>
    <row r="115" spans="1:35" x14ac:dyDescent="0.2">
      <c r="A115" s="376">
        <v>17620</v>
      </c>
      <c r="B115" s="376" t="s">
        <v>244</v>
      </c>
      <c r="C115" s="376" t="s">
        <v>163</v>
      </c>
      <c r="D115" s="404" t="s">
        <v>5</v>
      </c>
      <c r="E115" s="141"/>
      <c r="F115" s="144">
        <v>3425</v>
      </c>
      <c r="G115" s="145">
        <f t="shared" si="31"/>
        <v>13.993070876436077</v>
      </c>
      <c r="H115" s="146">
        <f t="shared" si="32"/>
        <v>4.2407040991044749</v>
      </c>
      <c r="I115" s="321" t="s">
        <v>115</v>
      </c>
      <c r="J115" s="11"/>
      <c r="K115" s="156">
        <v>1048</v>
      </c>
      <c r="L115" s="140">
        <f t="shared" si="38"/>
        <v>4.2816754097824843</v>
      </c>
      <c r="M115" s="140">
        <f t="shared" si="39"/>
        <v>1.2975935462369312</v>
      </c>
      <c r="N115" s="141"/>
      <c r="O115" s="147"/>
      <c r="P115" s="315"/>
      <c r="Q115" s="149"/>
      <c r="R115" s="314"/>
      <c r="S115" s="143"/>
      <c r="T115" s="149"/>
      <c r="V115" s="332">
        <f>'App 1-Services'!H115</f>
        <v>4401</v>
      </c>
      <c r="W115" s="267">
        <v>4707</v>
      </c>
      <c r="X115" s="268">
        <v>4707</v>
      </c>
      <c r="Y115" s="269">
        <v>0</v>
      </c>
      <c r="Z115" s="283">
        <v>0</v>
      </c>
      <c r="AB115" s="284">
        <f>'App 1-Services'!G115</f>
        <v>14522</v>
      </c>
      <c r="AC115" s="9">
        <f t="shared" si="33"/>
        <v>15531.709611451941</v>
      </c>
      <c r="AD115" s="9">
        <f t="shared" si="34"/>
        <v>15531.709611451941</v>
      </c>
      <c r="AE115" s="9">
        <f t="shared" si="35"/>
        <v>0</v>
      </c>
      <c r="AF115" s="9">
        <f t="shared" si="36"/>
        <v>0</v>
      </c>
      <c r="AG115" s="280"/>
      <c r="AH115" s="147"/>
      <c r="AI115" s="266">
        <f t="shared" si="37"/>
        <v>0</v>
      </c>
    </row>
    <row r="116" spans="1:35" x14ac:dyDescent="0.2">
      <c r="A116" s="376">
        <v>17640</v>
      </c>
      <c r="B116" s="376" t="s">
        <v>245</v>
      </c>
      <c r="C116" s="376" t="s">
        <v>704</v>
      </c>
      <c r="D116" s="404" t="s">
        <v>2</v>
      </c>
      <c r="E116" s="141"/>
      <c r="F116" s="144">
        <v>1872</v>
      </c>
      <c r="G116" s="145">
        <f t="shared" si="31"/>
        <v>18.045112781954888</v>
      </c>
      <c r="H116" s="146">
        <f t="shared" si="32"/>
        <v>5.6492269935809496</v>
      </c>
      <c r="I116" s="321"/>
      <c r="J116" s="11"/>
      <c r="K116" s="156">
        <v>509</v>
      </c>
      <c r="L116" s="140">
        <f t="shared" si="38"/>
        <v>4.9064970117601696</v>
      </c>
      <c r="M116" s="140">
        <f t="shared" si="39"/>
        <v>1.5360344763529397</v>
      </c>
      <c r="N116" s="141"/>
      <c r="O116" s="147"/>
      <c r="P116" s="315"/>
      <c r="Q116" s="149"/>
      <c r="R116" s="314"/>
      <c r="S116" s="143"/>
      <c r="T116" s="149"/>
      <c r="V116" s="332">
        <f>'App 1-Services'!H116</f>
        <v>2440</v>
      </c>
      <c r="W116" s="267">
        <v>1995</v>
      </c>
      <c r="X116" s="268">
        <v>1995</v>
      </c>
      <c r="Y116" s="269">
        <v>0</v>
      </c>
      <c r="Z116" s="283">
        <v>0</v>
      </c>
      <c r="AB116" s="284">
        <f>'App 1-Services'!G116</f>
        <v>7794</v>
      </c>
      <c r="AC116" s="9">
        <f t="shared" si="33"/>
        <v>6372.5532786885251</v>
      </c>
      <c r="AD116" s="9">
        <f t="shared" si="34"/>
        <v>6372.5532786885251</v>
      </c>
      <c r="AE116" s="9">
        <f t="shared" si="35"/>
        <v>0</v>
      </c>
      <c r="AF116" s="9">
        <f t="shared" si="36"/>
        <v>0</v>
      </c>
      <c r="AG116" s="280"/>
      <c r="AH116" s="147"/>
      <c r="AI116" s="266">
        <f t="shared" si="37"/>
        <v>0</v>
      </c>
    </row>
    <row r="117" spans="1:35" x14ac:dyDescent="0.2">
      <c r="A117" s="376">
        <v>17650</v>
      </c>
      <c r="B117" s="376" t="s">
        <v>246</v>
      </c>
      <c r="C117" s="376" t="s">
        <v>125</v>
      </c>
      <c r="D117" s="404" t="s">
        <v>2</v>
      </c>
      <c r="E117" s="141"/>
      <c r="F117" s="144">
        <v>1055.46</v>
      </c>
      <c r="G117" s="145">
        <f t="shared" si="31"/>
        <v>11.932573599240268</v>
      </c>
      <c r="H117" s="146">
        <f t="shared" si="32"/>
        <v>5.2027218641605932</v>
      </c>
      <c r="I117" s="321"/>
      <c r="J117" s="11"/>
      <c r="K117" s="156">
        <v>384.5</v>
      </c>
      <c r="L117" s="140">
        <f t="shared" si="38"/>
        <v>4.3598058780841802</v>
      </c>
      <c r="M117" s="140">
        <f t="shared" si="39"/>
        <v>1.9009191250116093</v>
      </c>
      <c r="N117" s="141"/>
      <c r="O117" s="147">
        <v>32.54</v>
      </c>
      <c r="P117" s="315">
        <f>(O117*1000)/Y117/52</f>
        <v>7.822115384615385</v>
      </c>
      <c r="Q117" s="149">
        <f>(O117*1000)/AE117/52</f>
        <v>3.4105208232796063</v>
      </c>
      <c r="R117" s="314"/>
      <c r="S117" s="143"/>
      <c r="T117" s="149"/>
      <c r="V117" s="332">
        <f>'App 1-Services'!H117</f>
        <v>2780</v>
      </c>
      <c r="W117" s="267">
        <v>1701</v>
      </c>
      <c r="X117" s="268">
        <v>1696</v>
      </c>
      <c r="Y117" s="269">
        <v>80</v>
      </c>
      <c r="Z117" s="283">
        <v>0</v>
      </c>
      <c r="AB117" s="284">
        <f>'App 1-Services'!G117</f>
        <v>6376</v>
      </c>
      <c r="AC117" s="9">
        <f t="shared" si="33"/>
        <v>3901.2863309352515</v>
      </c>
      <c r="AD117" s="9">
        <f t="shared" si="34"/>
        <v>3889.8187050359711</v>
      </c>
      <c r="AE117" s="9">
        <f t="shared" si="35"/>
        <v>183.4820143884892</v>
      </c>
      <c r="AF117" s="9">
        <f t="shared" si="36"/>
        <v>0</v>
      </c>
      <c r="AG117" s="280"/>
      <c r="AH117" s="147">
        <v>1</v>
      </c>
      <c r="AI117" s="266">
        <f t="shared" si="37"/>
        <v>80</v>
      </c>
    </row>
    <row r="118" spans="1:35" x14ac:dyDescent="0.2">
      <c r="A118" s="376">
        <v>17750</v>
      </c>
      <c r="B118" s="376" t="s">
        <v>247</v>
      </c>
      <c r="C118" s="376" t="s">
        <v>142</v>
      </c>
      <c r="D118" s="404" t="s">
        <v>2</v>
      </c>
      <c r="E118" s="154"/>
      <c r="F118" s="153">
        <v>11712</v>
      </c>
      <c r="G118" s="145">
        <f t="shared" si="31"/>
        <v>9.284038302999555</v>
      </c>
      <c r="H118" s="146">
        <f t="shared" si="32"/>
        <v>3.5043373355546619</v>
      </c>
      <c r="I118" s="321"/>
      <c r="J118" s="11"/>
      <c r="K118" s="295">
        <v>8082.71</v>
      </c>
      <c r="L118" s="140">
        <f t="shared" si="38"/>
        <v>6.401051384476002</v>
      </c>
      <c r="M118" s="140">
        <f t="shared" si="39"/>
        <v>2.4161299879790237</v>
      </c>
      <c r="N118" s="154"/>
      <c r="O118" s="147">
        <v>6872</v>
      </c>
      <c r="P118" s="315">
        <f>(O118*1000)/Y118/52</f>
        <v>5.6228501107878213</v>
      </c>
      <c r="Q118" s="149">
        <f>(O118*1000)/AE118/52</f>
        <v>2.1223914564306776</v>
      </c>
      <c r="R118" s="314"/>
      <c r="S118" s="143"/>
      <c r="T118" s="149"/>
      <c r="V118" s="332">
        <f>'App 1-Services'!H118</f>
        <v>24260</v>
      </c>
      <c r="W118" s="267">
        <v>24260</v>
      </c>
      <c r="X118" s="268">
        <v>24283</v>
      </c>
      <c r="Y118" s="269">
        <v>23503</v>
      </c>
      <c r="Z118" s="283">
        <v>0</v>
      </c>
      <c r="AB118" s="284">
        <f>'App 1-Services'!G118</f>
        <v>64272</v>
      </c>
      <c r="AC118" s="9">
        <f t="shared" si="33"/>
        <v>64272</v>
      </c>
      <c r="AD118" s="9">
        <f t="shared" si="34"/>
        <v>64332.933882934878</v>
      </c>
      <c r="AE118" s="9">
        <f t="shared" si="35"/>
        <v>62266.480461665298</v>
      </c>
      <c r="AF118" s="9">
        <f t="shared" si="36"/>
        <v>0</v>
      </c>
      <c r="AG118" s="280"/>
      <c r="AH118" s="147">
        <v>1</v>
      </c>
      <c r="AI118" s="266">
        <f t="shared" si="37"/>
        <v>23503</v>
      </c>
    </row>
    <row r="119" spans="1:35" x14ac:dyDescent="0.2">
      <c r="A119" s="376">
        <v>17850</v>
      </c>
      <c r="B119" s="376" t="s">
        <v>248</v>
      </c>
      <c r="C119" s="376" t="s">
        <v>125</v>
      </c>
      <c r="D119" s="404" t="s">
        <v>2</v>
      </c>
      <c r="E119" s="155"/>
      <c r="F119" s="144">
        <v>367.56</v>
      </c>
      <c r="G119" s="145">
        <f t="shared" si="31"/>
        <v>9.5390843973839914</v>
      </c>
      <c r="H119" s="146">
        <f t="shared" si="32"/>
        <v>2.3144929726462142</v>
      </c>
      <c r="I119" s="321"/>
      <c r="J119" s="11"/>
      <c r="K119" s="156">
        <v>161.06</v>
      </c>
      <c r="L119" s="140">
        <f t="shared" si="38"/>
        <v>4.1799024187688154</v>
      </c>
      <c r="M119" s="140">
        <f t="shared" si="39"/>
        <v>1.0141806458112941</v>
      </c>
      <c r="N119" s="155"/>
      <c r="O119" s="147">
        <v>71.88</v>
      </c>
      <c r="P119" s="315">
        <f>(O119*1000)/Y119/52</f>
        <v>1.8654624727499221</v>
      </c>
      <c r="Q119" s="149">
        <f>(O119*1000)/AE119/52</f>
        <v>0.45262203415445068</v>
      </c>
      <c r="R119" s="314"/>
      <c r="S119" s="143"/>
      <c r="T119" s="149"/>
      <c r="V119" s="332">
        <f>'App 1-Services'!H119</f>
        <v>741</v>
      </c>
      <c r="W119" s="267">
        <v>741</v>
      </c>
      <c r="X119" s="268">
        <v>741</v>
      </c>
      <c r="Y119" s="269">
        <v>741</v>
      </c>
      <c r="Z119" s="283">
        <v>0</v>
      </c>
      <c r="AB119" s="284">
        <f>'App 1-Services'!G119</f>
        <v>3054</v>
      </c>
      <c r="AC119" s="9">
        <f t="shared" si="33"/>
        <v>3054</v>
      </c>
      <c r="AD119" s="9">
        <f t="shared" si="34"/>
        <v>3054</v>
      </c>
      <c r="AE119" s="9">
        <f t="shared" si="35"/>
        <v>3054</v>
      </c>
      <c r="AF119" s="9">
        <f t="shared" si="36"/>
        <v>0</v>
      </c>
      <c r="AG119" s="280"/>
      <c r="AH119" s="147">
        <v>1</v>
      </c>
      <c r="AI119" s="266">
        <f t="shared" si="37"/>
        <v>741</v>
      </c>
    </row>
    <row r="120" spans="1:35" x14ac:dyDescent="0.2">
      <c r="A120" s="376">
        <v>17900</v>
      </c>
      <c r="B120" s="376" t="s">
        <v>249</v>
      </c>
      <c r="C120" s="376" t="s">
        <v>293</v>
      </c>
      <c r="D120" s="404" t="s">
        <v>2</v>
      </c>
      <c r="E120" s="155"/>
      <c r="F120" s="144">
        <v>1800</v>
      </c>
      <c r="G120" s="145">
        <f t="shared" si="31"/>
        <v>9.5254222937216877</v>
      </c>
      <c r="H120" s="146">
        <f t="shared" si="32"/>
        <v>5.1282051282051286</v>
      </c>
      <c r="I120" s="321"/>
      <c r="J120" s="11"/>
      <c r="K120" s="156">
        <v>0</v>
      </c>
      <c r="L120" s="140"/>
      <c r="M120" s="140"/>
      <c r="N120" s="155"/>
      <c r="O120" s="147"/>
      <c r="P120" s="315"/>
      <c r="Q120" s="149"/>
      <c r="R120" s="314"/>
      <c r="S120" s="143"/>
      <c r="T120" s="149"/>
      <c r="V120" s="332">
        <f>'App 1-Services'!H120</f>
        <v>3634</v>
      </c>
      <c r="W120" s="267">
        <v>3634</v>
      </c>
      <c r="X120" s="268">
        <v>0</v>
      </c>
      <c r="Y120" s="269">
        <v>0</v>
      </c>
      <c r="Z120" s="283">
        <v>0</v>
      </c>
      <c r="AB120" s="284">
        <f>'App 1-Services'!G120</f>
        <v>6750</v>
      </c>
      <c r="AC120" s="9">
        <f t="shared" si="33"/>
        <v>6750</v>
      </c>
      <c r="AD120" s="9">
        <f t="shared" si="34"/>
        <v>0</v>
      </c>
      <c r="AE120" s="9">
        <f t="shared" si="35"/>
        <v>0</v>
      </c>
      <c r="AF120" s="9">
        <f t="shared" si="36"/>
        <v>0</v>
      </c>
      <c r="AG120" s="280"/>
      <c r="AH120" s="147"/>
      <c r="AI120" s="266">
        <f t="shared" si="37"/>
        <v>0</v>
      </c>
    </row>
    <row r="121" spans="1:35" x14ac:dyDescent="0.2">
      <c r="A121" s="376">
        <v>17950</v>
      </c>
      <c r="B121" s="376" t="s">
        <v>250</v>
      </c>
      <c r="C121" s="376" t="s">
        <v>293</v>
      </c>
      <c r="D121" s="404" t="s">
        <v>2</v>
      </c>
      <c r="E121" s="155"/>
      <c r="F121" s="144">
        <v>740</v>
      </c>
      <c r="G121" s="145">
        <f t="shared" si="31"/>
        <v>18.749366575453532</v>
      </c>
      <c r="H121" s="146">
        <f t="shared" si="32"/>
        <v>5.021805525380004</v>
      </c>
      <c r="I121" s="321"/>
      <c r="J121" s="11"/>
      <c r="K121" s="156">
        <v>0</v>
      </c>
      <c r="L121" s="140"/>
      <c r="M121" s="140"/>
      <c r="N121" s="155"/>
      <c r="O121" s="147"/>
      <c r="P121" s="315"/>
      <c r="Q121" s="149"/>
      <c r="R121" s="314"/>
      <c r="S121" s="143"/>
      <c r="T121" s="149"/>
      <c r="V121" s="332">
        <f>'App 1-Services'!H121</f>
        <v>777</v>
      </c>
      <c r="W121" s="267">
        <v>759</v>
      </c>
      <c r="X121" s="268">
        <v>0</v>
      </c>
      <c r="Y121" s="269">
        <v>0</v>
      </c>
      <c r="Z121" s="283">
        <v>0</v>
      </c>
      <c r="AB121" s="284">
        <f>'App 1-Services'!G121</f>
        <v>2901</v>
      </c>
      <c r="AC121" s="9">
        <f t="shared" si="33"/>
        <v>2833.795366795367</v>
      </c>
      <c r="AD121" s="9">
        <f t="shared" si="34"/>
        <v>0</v>
      </c>
      <c r="AE121" s="9">
        <f t="shared" si="35"/>
        <v>0</v>
      </c>
      <c r="AF121" s="9">
        <f t="shared" si="36"/>
        <v>0</v>
      </c>
      <c r="AG121" s="280"/>
      <c r="AH121" s="147"/>
      <c r="AI121" s="266">
        <f t="shared" si="37"/>
        <v>0</v>
      </c>
    </row>
    <row r="122" spans="1:35" x14ac:dyDescent="0.2">
      <c r="A122" s="376">
        <v>18020</v>
      </c>
      <c r="B122" s="376" t="s">
        <v>251</v>
      </c>
      <c r="C122" s="376" t="s">
        <v>293</v>
      </c>
      <c r="D122" s="404" t="s">
        <v>2</v>
      </c>
      <c r="E122" s="155"/>
      <c r="F122" s="144">
        <v>1780</v>
      </c>
      <c r="G122" s="145">
        <f t="shared" si="31"/>
        <v>10.008996851102115</v>
      </c>
      <c r="H122" s="146">
        <f t="shared" si="32"/>
        <v>3.6366297394590674</v>
      </c>
      <c r="I122" s="321"/>
      <c r="J122" s="11"/>
      <c r="K122" s="156">
        <v>895</v>
      </c>
      <c r="L122" s="140">
        <f>(K122*1000)/X122/52</f>
        <v>5.0326135852451639</v>
      </c>
      <c r="M122" s="140">
        <f>(K122*1000)/AD122/52</f>
        <v>1.8285301218066661</v>
      </c>
      <c r="N122" s="155"/>
      <c r="O122" s="147"/>
      <c r="P122" s="315"/>
      <c r="Q122" s="149"/>
      <c r="R122" s="314"/>
      <c r="S122" s="143"/>
      <c r="T122" s="149"/>
      <c r="V122" s="332">
        <f>'App 1-Services'!H122</f>
        <v>3520</v>
      </c>
      <c r="W122" s="267">
        <v>3420</v>
      </c>
      <c r="X122" s="268">
        <v>3420</v>
      </c>
      <c r="Y122" s="269">
        <v>0</v>
      </c>
      <c r="Z122" s="283">
        <v>0</v>
      </c>
      <c r="AB122" s="284">
        <f>'App 1-Services'!G122</f>
        <v>9688</v>
      </c>
      <c r="AC122" s="9">
        <f t="shared" si="33"/>
        <v>9412.7727272727261</v>
      </c>
      <c r="AD122" s="9">
        <f t="shared" si="34"/>
        <v>9412.7727272727261</v>
      </c>
      <c r="AE122" s="9">
        <f t="shared" si="35"/>
        <v>0</v>
      </c>
      <c r="AF122" s="9">
        <f t="shared" si="36"/>
        <v>0</v>
      </c>
      <c r="AG122" s="280"/>
      <c r="AH122" s="147"/>
      <c r="AI122" s="266">
        <f t="shared" si="37"/>
        <v>0</v>
      </c>
    </row>
    <row r="123" spans="1:35" x14ac:dyDescent="0.2">
      <c r="A123" s="376">
        <v>18050</v>
      </c>
      <c r="B123" s="376" t="s">
        <v>252</v>
      </c>
      <c r="C123" s="376" t="s">
        <v>127</v>
      </c>
      <c r="D123" s="404" t="s">
        <v>4</v>
      </c>
      <c r="E123" s="155"/>
      <c r="F123" s="144">
        <v>14755</v>
      </c>
      <c r="G123" s="145">
        <f t="shared" si="31"/>
        <v>9.7324644143371621</v>
      </c>
      <c r="H123" s="146">
        <f t="shared" si="32"/>
        <v>3.8675953438922663</v>
      </c>
      <c r="I123" s="321"/>
      <c r="J123" s="11"/>
      <c r="K123" s="156">
        <v>6101.27</v>
      </c>
      <c r="L123" s="140">
        <f>(K123*1000)/X123/52</f>
        <v>4.0244251546772549</v>
      </c>
      <c r="M123" s="140">
        <f>(K123*1000)/AD123/52</f>
        <v>1.5992709890768937</v>
      </c>
      <c r="N123" s="155"/>
      <c r="O123" s="147">
        <v>2159.2600000000002</v>
      </c>
      <c r="P123" s="315">
        <f>(O123*1000)/Y123/52</f>
        <v>3.3980548910990809</v>
      </c>
      <c r="Q123" s="149">
        <f>(O123*1000)/AE123/52</f>
        <v>1.350356982116971</v>
      </c>
      <c r="R123" s="314"/>
      <c r="S123" s="143"/>
      <c r="T123" s="149"/>
      <c r="V123" s="332">
        <f>'App 1-Services'!H123</f>
        <v>29155</v>
      </c>
      <c r="W123" s="267">
        <v>29155</v>
      </c>
      <c r="X123" s="268">
        <v>29155</v>
      </c>
      <c r="Y123" s="269">
        <v>12220</v>
      </c>
      <c r="Z123" s="283">
        <v>0</v>
      </c>
      <c r="AB123" s="284">
        <f>'App 1-Services'!G123</f>
        <v>73366</v>
      </c>
      <c r="AC123" s="9">
        <f t="shared" si="33"/>
        <v>73366</v>
      </c>
      <c r="AD123" s="9">
        <f t="shared" si="34"/>
        <v>73366</v>
      </c>
      <c r="AE123" s="9">
        <f t="shared" si="35"/>
        <v>30750.558051792144</v>
      </c>
      <c r="AF123" s="9">
        <f t="shared" si="36"/>
        <v>0</v>
      </c>
      <c r="AG123" s="280"/>
      <c r="AH123" s="147">
        <v>1</v>
      </c>
      <c r="AI123" s="266">
        <f t="shared" si="37"/>
        <v>12220</v>
      </c>
    </row>
    <row r="124" spans="1:35" x14ac:dyDescent="0.2">
      <c r="A124" s="376">
        <v>18100</v>
      </c>
      <c r="B124" s="376" t="s">
        <v>253</v>
      </c>
      <c r="C124" s="376" t="s">
        <v>293</v>
      </c>
      <c r="D124" s="404" t="s">
        <v>2</v>
      </c>
      <c r="E124" s="141"/>
      <c r="F124" s="144">
        <v>595</v>
      </c>
      <c r="G124" s="145">
        <f t="shared" si="31"/>
        <v>10.09912417679408</v>
      </c>
      <c r="H124" s="146">
        <f t="shared" si="32"/>
        <v>4.1725615530875224</v>
      </c>
      <c r="I124" s="321"/>
      <c r="J124" s="11"/>
      <c r="K124" s="156">
        <v>378</v>
      </c>
      <c r="L124" s="140">
        <f>(K124*1000)/X124/52</f>
        <v>6.4159141829044737</v>
      </c>
      <c r="M124" s="140">
        <f>(K124*1000)/AD124/52</f>
        <v>2.6508038101967788</v>
      </c>
      <c r="N124" s="141"/>
      <c r="O124" s="147"/>
      <c r="P124" s="315"/>
      <c r="Q124" s="149"/>
      <c r="R124" s="314"/>
      <c r="S124" s="143"/>
      <c r="T124" s="149"/>
      <c r="V124" s="332">
        <f>'App 1-Services'!H124</f>
        <v>1532</v>
      </c>
      <c r="W124" s="267">
        <v>1133</v>
      </c>
      <c r="X124" s="268">
        <v>1133</v>
      </c>
      <c r="Y124" s="269">
        <v>0</v>
      </c>
      <c r="Z124" s="283">
        <v>0</v>
      </c>
      <c r="AB124" s="284">
        <f>'App 1-Services'!G124</f>
        <v>3708</v>
      </c>
      <c r="AC124" s="9">
        <f t="shared" si="33"/>
        <v>2742.2741514360309</v>
      </c>
      <c r="AD124" s="9">
        <f t="shared" si="34"/>
        <v>2742.2741514360309</v>
      </c>
      <c r="AE124" s="9">
        <f t="shared" si="35"/>
        <v>0</v>
      </c>
      <c r="AF124" s="9">
        <f t="shared" si="36"/>
        <v>0</v>
      </c>
      <c r="AG124" s="280"/>
      <c r="AH124" s="147"/>
      <c r="AI124" s="266">
        <f t="shared" si="37"/>
        <v>0</v>
      </c>
    </row>
    <row r="125" spans="1:35" x14ac:dyDescent="0.2">
      <c r="A125" s="376">
        <v>18200</v>
      </c>
      <c r="B125" s="376" t="s">
        <v>254</v>
      </c>
      <c r="C125" s="376" t="s">
        <v>703</v>
      </c>
      <c r="D125" s="404" t="s">
        <v>2</v>
      </c>
      <c r="E125" s="141"/>
      <c r="F125" s="144">
        <v>2324</v>
      </c>
      <c r="G125" s="145">
        <f t="shared" si="31"/>
        <v>15.518162393162394</v>
      </c>
      <c r="H125" s="146">
        <f t="shared" si="32"/>
        <v>6.0293923116208381</v>
      </c>
      <c r="I125" s="321"/>
      <c r="J125" s="11"/>
      <c r="K125" s="156">
        <v>0</v>
      </c>
      <c r="L125" s="140"/>
      <c r="M125" s="140"/>
      <c r="N125" s="141"/>
      <c r="O125" s="147"/>
      <c r="P125" s="315"/>
      <c r="Q125" s="149"/>
      <c r="R125" s="314"/>
      <c r="S125" s="143"/>
      <c r="T125" s="149"/>
      <c r="V125" s="332">
        <f>'App 1-Services'!H125</f>
        <v>2705</v>
      </c>
      <c r="W125" s="267">
        <v>2880</v>
      </c>
      <c r="X125" s="268">
        <v>0</v>
      </c>
      <c r="Y125" s="269">
        <v>0</v>
      </c>
      <c r="Z125" s="283">
        <v>0</v>
      </c>
      <c r="AB125" s="284">
        <f>'App 1-Services'!G125</f>
        <v>6962</v>
      </c>
      <c r="AC125" s="9">
        <f t="shared" si="33"/>
        <v>7412.4066543438075</v>
      </c>
      <c r="AD125" s="9">
        <f t="shared" si="34"/>
        <v>0</v>
      </c>
      <c r="AE125" s="9">
        <f t="shared" si="35"/>
        <v>0</v>
      </c>
      <c r="AF125" s="9">
        <f t="shared" si="36"/>
        <v>0</v>
      </c>
      <c r="AG125" s="280"/>
      <c r="AH125" s="147"/>
      <c r="AI125" s="266">
        <f t="shared" si="37"/>
        <v>0</v>
      </c>
    </row>
    <row r="126" spans="1:35" x14ac:dyDescent="0.2">
      <c r="A126" s="376">
        <v>18230</v>
      </c>
      <c r="B126" s="376" t="s">
        <v>290</v>
      </c>
      <c r="C126" s="376" t="s">
        <v>293</v>
      </c>
      <c r="D126" s="404" t="s">
        <v>2</v>
      </c>
      <c r="E126" s="141"/>
      <c r="F126" s="144">
        <v>12103</v>
      </c>
      <c r="G126" s="145">
        <f t="shared" si="31"/>
        <v>12.144534307331073</v>
      </c>
      <c r="H126" s="146">
        <f t="shared" si="32"/>
        <v>5.2037213319036999</v>
      </c>
      <c r="I126" s="321"/>
      <c r="J126" s="11"/>
      <c r="K126" s="156">
        <v>3700</v>
      </c>
      <c r="L126" s="140">
        <f t="shared" ref="L126:L132" si="40">(K126*1000)/X126/52</f>
        <v>3.7126974251941642</v>
      </c>
      <c r="M126" s="140">
        <f t="shared" ref="M126:M132" si="41">(K126*1000)/AD126/52</f>
        <v>1.5908261528582739</v>
      </c>
      <c r="N126" s="141"/>
      <c r="O126" s="147"/>
      <c r="P126" s="315"/>
      <c r="Q126" s="149"/>
      <c r="R126" s="314"/>
      <c r="S126" s="143"/>
      <c r="T126" s="149"/>
      <c r="V126" s="332">
        <f>'App 1-Services'!H126</f>
        <v>22045</v>
      </c>
      <c r="W126" s="267">
        <v>19165</v>
      </c>
      <c r="X126" s="268">
        <v>19165</v>
      </c>
      <c r="Y126" s="269">
        <v>0</v>
      </c>
      <c r="Z126" s="283">
        <v>0</v>
      </c>
      <c r="AB126" s="284">
        <f>'App 1-Services'!G126</f>
        <v>51449</v>
      </c>
      <c r="AC126" s="9">
        <f t="shared" si="33"/>
        <v>44727.606486731689</v>
      </c>
      <c r="AD126" s="9">
        <f t="shared" si="34"/>
        <v>44727.606486731689</v>
      </c>
      <c r="AE126" s="9">
        <f t="shared" si="35"/>
        <v>0</v>
      </c>
      <c r="AF126" s="9">
        <f t="shared" si="36"/>
        <v>0</v>
      </c>
      <c r="AG126" s="280"/>
      <c r="AH126" s="147"/>
      <c r="AI126" s="266">
        <f t="shared" si="37"/>
        <v>0</v>
      </c>
    </row>
    <row r="127" spans="1:35" x14ac:dyDescent="0.2">
      <c r="A127" s="376">
        <v>18250</v>
      </c>
      <c r="B127" s="376" t="s">
        <v>255</v>
      </c>
      <c r="C127" s="376" t="s">
        <v>190</v>
      </c>
      <c r="D127" s="404" t="s">
        <v>4</v>
      </c>
      <c r="E127" s="141"/>
      <c r="F127" s="144">
        <v>15643</v>
      </c>
      <c r="G127" s="145">
        <f t="shared" si="31"/>
        <v>9.3002820465257869</v>
      </c>
      <c r="H127" s="146">
        <f t="shared" si="32"/>
        <v>3.4238726730454934</v>
      </c>
      <c r="I127" s="321"/>
      <c r="J127" s="11"/>
      <c r="K127" s="156">
        <v>6886</v>
      </c>
      <c r="L127" s="140">
        <f t="shared" si="40"/>
        <v>4.4370272046599739</v>
      </c>
      <c r="M127" s="140">
        <f t="shared" si="41"/>
        <v>1.6334790837090554</v>
      </c>
      <c r="N127" s="141"/>
      <c r="O127" s="147">
        <v>6471</v>
      </c>
      <c r="P127" s="315">
        <f>(O127*1000)/Y127/52</f>
        <v>7.6953996470414747</v>
      </c>
      <c r="Q127" s="149">
        <f>(O127*1000)/AE127/52</f>
        <v>2.8330397323285292</v>
      </c>
      <c r="R127" s="314"/>
      <c r="S127" s="143"/>
      <c r="T127" s="149"/>
      <c r="V127" s="332">
        <f>'App 1-Services'!H127</f>
        <v>28654</v>
      </c>
      <c r="W127" s="267">
        <v>32346</v>
      </c>
      <c r="X127" s="268">
        <v>29845</v>
      </c>
      <c r="Y127" s="269">
        <v>16171</v>
      </c>
      <c r="Z127" s="283">
        <v>0</v>
      </c>
      <c r="AB127" s="284">
        <f>'App 1-Services'!G127</f>
        <v>77833</v>
      </c>
      <c r="AC127" s="9">
        <f t="shared" si="33"/>
        <v>87861.597612898724</v>
      </c>
      <c r="AD127" s="9">
        <f t="shared" si="34"/>
        <v>81068.119110769869</v>
      </c>
      <c r="AE127" s="9">
        <f t="shared" si="35"/>
        <v>43925.366196691561</v>
      </c>
      <c r="AF127" s="9">
        <f t="shared" si="36"/>
        <v>0</v>
      </c>
      <c r="AG127" s="280"/>
      <c r="AH127" s="147">
        <v>1</v>
      </c>
      <c r="AI127" s="266">
        <f t="shared" si="37"/>
        <v>16171</v>
      </c>
    </row>
    <row r="128" spans="1:35" x14ac:dyDescent="0.2">
      <c r="A128" s="376">
        <v>18350</v>
      </c>
      <c r="B128" s="376" t="s">
        <v>256</v>
      </c>
      <c r="C128" s="376" t="s">
        <v>291</v>
      </c>
      <c r="D128" s="404" t="s">
        <v>3</v>
      </c>
      <c r="E128" s="141"/>
      <c r="F128" s="144">
        <v>7420.75</v>
      </c>
      <c r="G128" s="145">
        <f t="shared" si="31"/>
        <v>7.5251387243846644</v>
      </c>
      <c r="H128" s="146">
        <f t="shared" si="32"/>
        <v>2.8371983774852692</v>
      </c>
      <c r="I128" s="321"/>
      <c r="J128" s="11"/>
      <c r="K128" s="156">
        <v>4988.84</v>
      </c>
      <c r="L128" s="140">
        <f t="shared" si="40"/>
        <v>5.0646270796194255</v>
      </c>
      <c r="M128" s="140">
        <f t="shared" si="41"/>
        <v>1.9095132009063636</v>
      </c>
      <c r="N128" s="141"/>
      <c r="O128" s="147">
        <v>5241.3999999999996</v>
      </c>
      <c r="P128" s="315">
        <f>(O128*1000)/Y128/52</f>
        <v>5.6802566270021888</v>
      </c>
      <c r="Q128" s="149">
        <f>(O128*1000)/AE128/52</f>
        <v>2.1416236266326609</v>
      </c>
      <c r="R128" s="314"/>
      <c r="S128" s="143"/>
      <c r="T128" s="149"/>
      <c r="V128" s="332">
        <f>'App 1-Services'!H128</f>
        <v>18416</v>
      </c>
      <c r="W128" s="267">
        <v>18964</v>
      </c>
      <c r="X128" s="268">
        <v>18943</v>
      </c>
      <c r="Y128" s="269">
        <v>17745</v>
      </c>
      <c r="Z128" s="283">
        <v>0</v>
      </c>
      <c r="AB128" s="284">
        <f>'App 1-Services'!G128</f>
        <v>48845</v>
      </c>
      <c r="AC128" s="9">
        <f t="shared" si="33"/>
        <v>50298.467636837537</v>
      </c>
      <c r="AD128" s="9">
        <f t="shared" si="34"/>
        <v>50242.76905951347</v>
      </c>
      <c r="AE128" s="9">
        <f t="shared" si="35"/>
        <v>47065.297838835795</v>
      </c>
      <c r="AF128" s="9">
        <f t="shared" si="36"/>
        <v>0</v>
      </c>
      <c r="AG128" s="280"/>
      <c r="AH128" s="147">
        <v>1</v>
      </c>
      <c r="AI128" s="266">
        <f t="shared" si="37"/>
        <v>17745</v>
      </c>
    </row>
    <row r="129" spans="1:35" x14ac:dyDescent="0.2">
      <c r="A129" s="376">
        <v>18400</v>
      </c>
      <c r="B129" s="376" t="s">
        <v>257</v>
      </c>
      <c r="C129" s="376" t="s">
        <v>156</v>
      </c>
      <c r="D129" s="404" t="s">
        <v>5</v>
      </c>
      <c r="E129" s="141"/>
      <c r="F129" s="144">
        <v>9576.7900000000009</v>
      </c>
      <c r="G129" s="145">
        <f t="shared" si="31"/>
        <v>10.695687232797402</v>
      </c>
      <c r="H129" s="146">
        <f t="shared" si="32"/>
        <v>3.6931472521644824</v>
      </c>
      <c r="I129" s="321"/>
      <c r="J129" s="275"/>
      <c r="K129" s="156">
        <v>4773.5600000000004</v>
      </c>
      <c r="L129" s="140">
        <f t="shared" si="40"/>
        <v>5.3822250685524597</v>
      </c>
      <c r="M129" s="140">
        <f t="shared" si="41"/>
        <v>1.8584453050855054</v>
      </c>
      <c r="N129" s="141"/>
      <c r="O129" s="147">
        <v>4397.6099999999997</v>
      </c>
      <c r="P129" s="315">
        <f>(O129*1000)/Y129/52</f>
        <v>7.1252357466444582</v>
      </c>
      <c r="Q129" s="149">
        <f>(O129*1000)/AE129/52</f>
        <v>2.4602949063481252</v>
      </c>
      <c r="R129" s="314"/>
      <c r="S129" s="143"/>
      <c r="T129" s="149"/>
      <c r="V129" s="332">
        <f>'App 1-Services'!H129</f>
        <v>16957</v>
      </c>
      <c r="W129" s="267">
        <v>17219</v>
      </c>
      <c r="X129" s="268">
        <v>17056</v>
      </c>
      <c r="Y129" s="269">
        <v>11869</v>
      </c>
      <c r="Z129" s="283">
        <v>0</v>
      </c>
      <c r="AB129" s="284">
        <f>'App 1-Services'!G129</f>
        <v>49109</v>
      </c>
      <c r="AC129" s="9">
        <f t="shared" si="33"/>
        <v>49867.775608893076</v>
      </c>
      <c r="AD129" s="9">
        <f t="shared" si="34"/>
        <v>49395.712920917613</v>
      </c>
      <c r="AE129" s="9">
        <f t="shared" si="35"/>
        <v>34373.693518900749</v>
      </c>
      <c r="AF129" s="9">
        <f t="shared" si="36"/>
        <v>0</v>
      </c>
      <c r="AG129" s="280"/>
      <c r="AH129" s="147">
        <v>1</v>
      </c>
      <c r="AI129" s="266">
        <f t="shared" si="37"/>
        <v>11869</v>
      </c>
    </row>
    <row r="130" spans="1:35" x14ac:dyDescent="0.2">
      <c r="A130" s="376">
        <v>18450</v>
      </c>
      <c r="B130" s="376" t="s">
        <v>258</v>
      </c>
      <c r="C130" s="376" t="s">
        <v>291</v>
      </c>
      <c r="D130" s="404" t="s">
        <v>3</v>
      </c>
      <c r="E130" s="141"/>
      <c r="F130" s="144">
        <v>42346</v>
      </c>
      <c r="G130" s="145">
        <f t="shared" si="31"/>
        <v>9.9268136020741622</v>
      </c>
      <c r="H130" s="146">
        <f t="shared" si="32"/>
        <v>3.87427395879884</v>
      </c>
      <c r="I130" s="321"/>
      <c r="J130" s="11"/>
      <c r="K130" s="295">
        <v>19827</v>
      </c>
      <c r="L130" s="140">
        <f t="shared" si="40"/>
        <v>4.6478754377821847</v>
      </c>
      <c r="M130" s="140">
        <f t="shared" si="41"/>
        <v>1.8139902182285126</v>
      </c>
      <c r="N130" s="141"/>
      <c r="O130" s="147">
        <v>22144.3</v>
      </c>
      <c r="P130" s="315">
        <f>(O130*1000)/Y130/52</f>
        <v>5.1911004214898888</v>
      </c>
      <c r="Q130" s="149">
        <f>(O130*1000)/AE130/52</f>
        <v>2.0260020976202986</v>
      </c>
      <c r="R130" s="314"/>
      <c r="S130" s="143"/>
      <c r="T130" s="149"/>
      <c r="V130" s="332">
        <f>'App 1-Services'!H130</f>
        <v>82433</v>
      </c>
      <c r="W130" s="267">
        <v>82035</v>
      </c>
      <c r="X130" s="268">
        <v>82035</v>
      </c>
      <c r="Y130" s="269">
        <v>82035</v>
      </c>
      <c r="Z130" s="283">
        <v>0</v>
      </c>
      <c r="AB130" s="284">
        <f>'App 1-Services'!G130</f>
        <v>211213</v>
      </c>
      <c r="AC130" s="9">
        <f t="shared" si="33"/>
        <v>210193.22910727499</v>
      </c>
      <c r="AD130" s="9">
        <f t="shared" si="34"/>
        <v>210193.22910727499</v>
      </c>
      <c r="AE130" s="9">
        <f t="shared" si="35"/>
        <v>210193.22910727499</v>
      </c>
      <c r="AF130" s="9">
        <f t="shared" si="36"/>
        <v>0</v>
      </c>
      <c r="AG130" s="280"/>
      <c r="AH130" s="147">
        <v>1</v>
      </c>
      <c r="AI130" s="266">
        <f t="shared" si="37"/>
        <v>82035</v>
      </c>
    </row>
    <row r="131" spans="1:35" x14ac:dyDescent="0.2">
      <c r="A131" s="376">
        <v>18500</v>
      </c>
      <c r="B131" s="376" t="s">
        <v>259</v>
      </c>
      <c r="C131" s="376" t="s">
        <v>127</v>
      </c>
      <c r="D131" s="404" t="s">
        <v>4</v>
      </c>
      <c r="E131" s="141"/>
      <c r="F131" s="144">
        <v>11371.42</v>
      </c>
      <c r="G131" s="145">
        <f t="shared" si="31"/>
        <v>8.8338175659928844</v>
      </c>
      <c r="H131" s="146">
        <f t="shared" si="32"/>
        <v>3.6532100542290986</v>
      </c>
      <c r="I131" s="321"/>
      <c r="J131" s="11"/>
      <c r="K131" s="156">
        <v>5679.23</v>
      </c>
      <c r="L131" s="140">
        <f t="shared" si="40"/>
        <v>4.4118748349206847</v>
      </c>
      <c r="M131" s="140">
        <f t="shared" si="41"/>
        <v>1.8245232465496417</v>
      </c>
      <c r="N131" s="141"/>
      <c r="O131" s="147">
        <v>0</v>
      </c>
      <c r="P131" s="315"/>
      <c r="Q131" s="149"/>
      <c r="R131" s="314">
        <v>3753</v>
      </c>
      <c r="S131" s="143">
        <f>(R131*1000)/Z131/52</f>
        <v>2.9154949272097324</v>
      </c>
      <c r="T131" s="149">
        <f>(R131*1000)/AF131/52</f>
        <v>1.2056979105091368</v>
      </c>
      <c r="V131" s="332">
        <f>'App 1-Services'!H131</f>
        <v>24755</v>
      </c>
      <c r="W131" s="267">
        <v>24755</v>
      </c>
      <c r="X131" s="268">
        <v>24755</v>
      </c>
      <c r="Y131" s="269">
        <v>0</v>
      </c>
      <c r="Z131" s="283">
        <v>24755</v>
      </c>
      <c r="AB131" s="284">
        <f>'App 1-Services'!G131</f>
        <v>59860</v>
      </c>
      <c r="AC131" s="9">
        <f t="shared" si="33"/>
        <v>59860</v>
      </c>
      <c r="AD131" s="9">
        <f t="shared" si="34"/>
        <v>59860</v>
      </c>
      <c r="AE131" s="9">
        <f t="shared" si="35"/>
        <v>0</v>
      </c>
      <c r="AF131" s="9">
        <f t="shared" si="36"/>
        <v>59860</v>
      </c>
      <c r="AG131" s="280">
        <v>1</v>
      </c>
      <c r="AH131" s="147"/>
      <c r="AI131" s="266">
        <f t="shared" si="37"/>
        <v>24755</v>
      </c>
    </row>
    <row r="132" spans="1:35" x14ac:dyDescent="0.2">
      <c r="A132" s="376">
        <v>18710</v>
      </c>
      <c r="B132" s="376" t="s">
        <v>260</v>
      </c>
      <c r="C132" s="376" t="s">
        <v>704</v>
      </c>
      <c r="D132" s="404" t="s">
        <v>2</v>
      </c>
      <c r="E132" s="141"/>
      <c r="F132" s="144">
        <v>2672</v>
      </c>
      <c r="G132" s="145">
        <f t="shared" si="31"/>
        <v>13.529387936970874</v>
      </c>
      <c r="H132" s="146">
        <f t="shared" si="32"/>
        <v>3.9232819079823074</v>
      </c>
      <c r="I132" s="321"/>
      <c r="J132" s="11"/>
      <c r="K132" s="156">
        <v>894</v>
      </c>
      <c r="L132" s="140">
        <f t="shared" si="40"/>
        <v>4.5266739579535784</v>
      </c>
      <c r="M132" s="140">
        <f t="shared" si="41"/>
        <v>1.3126549497515656</v>
      </c>
      <c r="N132" s="141"/>
      <c r="O132" s="147"/>
      <c r="P132" s="315"/>
      <c r="Q132" s="149"/>
      <c r="R132" s="314"/>
      <c r="S132" s="143"/>
      <c r="T132" s="149"/>
      <c r="V132" s="332">
        <f>'App 1-Services'!H132</f>
        <v>4892</v>
      </c>
      <c r="W132" s="267">
        <v>3798</v>
      </c>
      <c r="X132" s="268">
        <v>3798</v>
      </c>
      <c r="Y132" s="269">
        <v>0</v>
      </c>
      <c r="Z132" s="283">
        <v>0</v>
      </c>
      <c r="AB132" s="284">
        <f>'App 1-Services'!G132</f>
        <v>16870</v>
      </c>
      <c r="AC132" s="9">
        <f t="shared" si="33"/>
        <v>13097.354865085854</v>
      </c>
      <c r="AD132" s="9">
        <f t="shared" si="34"/>
        <v>13097.354865085854</v>
      </c>
      <c r="AE132" s="9">
        <f t="shared" si="35"/>
        <v>0</v>
      </c>
      <c r="AF132" s="9">
        <f t="shared" si="36"/>
        <v>0</v>
      </c>
      <c r="AG132" s="280"/>
      <c r="AH132" s="147"/>
      <c r="AI132" s="266">
        <f t="shared" si="37"/>
        <v>0</v>
      </c>
    </row>
    <row r="133" spans="1:35" x14ac:dyDescent="0.2">
      <c r="A133" s="287"/>
      <c r="B133" s="287"/>
      <c r="C133" s="287"/>
      <c r="D133" s="287"/>
      <c r="E133" s="287"/>
      <c r="F133" s="287"/>
      <c r="G133" s="287"/>
      <c r="H133" s="287"/>
      <c r="I133" s="322"/>
      <c r="J133" s="287"/>
      <c r="K133" s="297"/>
      <c r="L133" s="287"/>
      <c r="M133" s="287"/>
      <c r="N133" s="287"/>
      <c r="O133" s="287"/>
      <c r="P133" s="287"/>
      <c r="Q133" s="287"/>
      <c r="R133" s="287"/>
      <c r="S133" s="287"/>
      <c r="T133" s="287"/>
      <c r="V133" s="327">
        <f>COUNTIF(V5:V132,"&gt;0")</f>
        <v>128</v>
      </c>
      <c r="W133" s="270">
        <f>COUNTIF(W5:W132,"&gt;0")</f>
        <v>128</v>
      </c>
      <c r="X133" s="547">
        <f>COUNTIF(X5:X132,"&gt;0")</f>
        <v>112</v>
      </c>
      <c r="Y133" s="271">
        <f>COUNTIF(Y5:Y132,"&gt;0")</f>
        <v>50</v>
      </c>
      <c r="Z133" s="271">
        <f>COUNTIF(Z5:Z132,"&gt;0")</f>
        <v>32</v>
      </c>
      <c r="AB133" s="6"/>
      <c r="AC133" s="270">
        <f>COUNTIF(AC5:AC132,"&gt;0")</f>
        <v>128</v>
      </c>
      <c r="AD133" s="547">
        <f>COUNTIF(AD5:AD132,"&gt;0")</f>
        <v>112</v>
      </c>
      <c r="AE133" s="271">
        <f>COUNTIF(AE5:AE132,"&gt;0")</f>
        <v>50</v>
      </c>
      <c r="AF133" s="271">
        <f>COUNTIF(AF5:AF132,"&gt;0")</f>
        <v>32</v>
      </c>
      <c r="AG133" s="271">
        <f t="shared" ref="AG133:AH133" si="42">COUNTIF(AG5:AG132,"&gt;0")</f>
        <v>32</v>
      </c>
      <c r="AH133" s="271">
        <f t="shared" si="42"/>
        <v>50</v>
      </c>
    </row>
    <row r="134" spans="1:35" x14ac:dyDescent="0.2">
      <c r="A134" s="660" t="s">
        <v>0</v>
      </c>
      <c r="B134" s="660"/>
      <c r="C134" s="660"/>
      <c r="D134" s="7"/>
      <c r="E134" s="129"/>
      <c r="F134" s="159">
        <f>SUM(F5:F132)</f>
        <v>1687162.0000000005</v>
      </c>
      <c r="G134" s="148"/>
      <c r="H134" s="148"/>
      <c r="I134" s="323"/>
      <c r="K134" s="298">
        <f>SUM(K5:K132)</f>
        <v>679059.34999999986</v>
      </c>
      <c r="L134" s="148"/>
      <c r="M134" s="157"/>
      <c r="N134" s="129"/>
      <c r="O134" s="158">
        <f>SUM(O5:O132)</f>
        <v>425177.11000000004</v>
      </c>
      <c r="P134" s="287"/>
      <c r="Q134" s="287"/>
      <c r="R134" s="158">
        <f>SUM(R5:R132)</f>
        <v>139450.25999999998</v>
      </c>
      <c r="S134" s="148"/>
      <c r="T134" s="157"/>
      <c r="V134" s="333">
        <f>SUM(V5:V132)</f>
        <v>2996611</v>
      </c>
      <c r="W134" s="272">
        <f>SUM(W5:W132)</f>
        <v>2735205</v>
      </c>
      <c r="X134" s="273">
        <f>SUM(X5:X132)</f>
        <v>2671542</v>
      </c>
      <c r="Y134" s="274">
        <f>SUM(Y5:Y132)</f>
        <v>1433778</v>
      </c>
      <c r="Z134" s="274">
        <f>SUM(Z5:Z132)</f>
        <v>361409</v>
      </c>
      <c r="AB134" s="8">
        <f>SUM(AB5:AB132)</f>
        <v>7725840</v>
      </c>
      <c r="AC134" s="272">
        <f>SUM(AC5:AC132)</f>
        <v>7118971.2753161676</v>
      </c>
      <c r="AD134" s="273">
        <f>SUM(AD5:AD132)</f>
        <v>6960307.2767217187</v>
      </c>
      <c r="AE134" s="274">
        <f>SUM(AE5:AE132)</f>
        <v>3855663.4306266671</v>
      </c>
      <c r="AF134" s="274">
        <f>SUM(AF5:AF132)</f>
        <v>882602.17496396881</v>
      </c>
      <c r="AI134" s="274">
        <f>SUM(AI5:AI132)</f>
        <v>1795187</v>
      </c>
    </row>
    <row r="135" spans="1:35" s="2" customFormat="1" ht="5.25" customHeight="1" x14ac:dyDescent="0.2">
      <c r="A135" s="292"/>
      <c r="B135" s="292"/>
      <c r="C135" s="292"/>
      <c r="D135" s="292"/>
      <c r="E135" s="292"/>
      <c r="F135" s="292"/>
      <c r="G135" s="292"/>
      <c r="H135" s="292"/>
      <c r="I135" s="324"/>
      <c r="J135" s="292"/>
      <c r="K135" s="299"/>
      <c r="L135" s="292"/>
      <c r="M135" s="292"/>
      <c r="N135" s="292"/>
      <c r="O135" s="292"/>
      <c r="P135" s="292"/>
      <c r="Q135" s="292"/>
      <c r="R135" s="292"/>
      <c r="S135" s="292"/>
      <c r="T135" s="292"/>
      <c r="V135" s="334"/>
      <c r="AG135" s="281"/>
    </row>
    <row r="136" spans="1:35" x14ac:dyDescent="0.2">
      <c r="A136" s="661" t="s">
        <v>100</v>
      </c>
      <c r="B136" s="661"/>
      <c r="C136" s="661"/>
      <c r="D136" s="160"/>
      <c r="E136" s="163"/>
      <c r="F136" s="166">
        <f>(F134*1000)/AC134</f>
        <v>236.995197023754</v>
      </c>
      <c r="G136" s="167">
        <f>((F134*1000)/W134)/52</f>
        <v>11.86215405314157</v>
      </c>
      <c r="H136" s="167">
        <f>((F134*1000)/AC134)/52</f>
        <v>4.5575999427645</v>
      </c>
      <c r="I136" s="325"/>
      <c r="J136" s="161"/>
      <c r="K136" s="166"/>
      <c r="L136" s="162">
        <f>((K134*1000)/X134)/52</f>
        <v>4.8881259040083034</v>
      </c>
      <c r="M136" s="162">
        <f>((K134*1000)/AD134)/52</f>
        <v>1.8761863714724987</v>
      </c>
      <c r="N136" s="163"/>
      <c r="O136" s="164"/>
      <c r="P136" s="165">
        <f>((O134*1000)/Y134)/52</f>
        <v>5.7027537628666263</v>
      </c>
      <c r="Q136" s="165">
        <f>((O134*1000)/AE134)/52</f>
        <v>2.1206422790088939</v>
      </c>
      <c r="R136" s="282"/>
      <c r="S136" s="165">
        <f>((R134*1000)/Z134)/52</f>
        <v>7.4202240930103249</v>
      </c>
      <c r="T136" s="165">
        <f>((R134*1000)/AF134)/52</f>
        <v>3.0384422849855852</v>
      </c>
      <c r="W136" s="167">
        <f>(F134*1000)/W134/52</f>
        <v>11.86215405314157</v>
      </c>
      <c r="X136" s="162">
        <f>(K134*1000)/X134/52</f>
        <v>4.8881259040083034</v>
      </c>
      <c r="Y136" s="165">
        <f>(O134*1000)/Y134/52</f>
        <v>5.7027537628666263</v>
      </c>
      <c r="Z136" s="165">
        <f>(R134*1000)/Z134/52</f>
        <v>7.4202240930103249</v>
      </c>
      <c r="AC136" s="167">
        <f>(F134*1000)/AC134/52</f>
        <v>4.5575999427645</v>
      </c>
      <c r="AD136" s="162">
        <f>(K134*1000)/AD134/52</f>
        <v>1.8761863714724987</v>
      </c>
      <c r="AE136" s="165">
        <f>(O134*1000)/AE134/52</f>
        <v>2.1206422790088939</v>
      </c>
      <c r="AF136" s="165">
        <f>(R134*1000)/AF134/52</f>
        <v>3.0384422849855852</v>
      </c>
    </row>
    <row r="137" spans="1:35" s="2" customFormat="1" ht="6" customHeight="1" x14ac:dyDescent="0.2">
      <c r="A137" s="291"/>
      <c r="B137" s="291"/>
      <c r="C137" s="291"/>
      <c r="D137" s="291"/>
      <c r="E137" s="291"/>
      <c r="F137" s="291"/>
      <c r="G137" s="291"/>
      <c r="H137" s="291"/>
      <c r="I137" s="326"/>
      <c r="J137" s="291"/>
      <c r="K137" s="300"/>
      <c r="L137" s="291"/>
      <c r="M137" s="291"/>
      <c r="N137" s="291"/>
      <c r="O137" s="291"/>
      <c r="P137" s="291"/>
      <c r="Q137" s="291"/>
      <c r="R137" s="291"/>
      <c r="S137" s="291"/>
      <c r="T137" s="291"/>
      <c r="V137" s="334"/>
    </row>
    <row r="138" spans="1:35" x14ac:dyDescent="0.2">
      <c r="A138" s="661" t="s">
        <v>11</v>
      </c>
      <c r="B138" s="661"/>
      <c r="C138" s="661"/>
      <c r="D138" s="160"/>
      <c r="E138" s="288"/>
      <c r="F138" s="662" t="s">
        <v>101</v>
      </c>
      <c r="G138" s="662"/>
      <c r="H138" s="662"/>
      <c r="I138" s="662"/>
      <c r="J138" s="662"/>
      <c r="K138" s="662"/>
      <c r="L138" s="662"/>
      <c r="M138" s="662"/>
      <c r="N138" s="662"/>
      <c r="O138" s="662"/>
      <c r="P138" s="662"/>
      <c r="Q138" s="662"/>
      <c r="R138" s="662"/>
      <c r="S138" s="662"/>
      <c r="T138" s="662"/>
      <c r="Y138" s="308" t="s">
        <v>109</v>
      </c>
      <c r="Z138" s="165">
        <f>(O134+R134)*1000/(Y134+Z134)/52</f>
        <v>6.0485167583355679</v>
      </c>
      <c r="AE138" s="308" t="s">
        <v>109</v>
      </c>
      <c r="AF138" s="165">
        <f>(O134+R134)*1000/(AE134+AF134)/52</f>
        <v>2.291601939966101</v>
      </c>
    </row>
    <row r="139" spans="1:35" x14ac:dyDescent="0.2">
      <c r="B139" s="276"/>
      <c r="C139" s="276" t="s">
        <v>18</v>
      </c>
      <c r="D139" s="168"/>
      <c r="E139" s="170"/>
      <c r="F139" s="172">
        <f>SUMIF($D$5:$D$132,"S",F$5:F$132)</f>
        <v>985828.94000000006</v>
      </c>
      <c r="G139" s="167">
        <f>((F139*1000)/W139)/52</f>
        <v>12.913793045630122</v>
      </c>
      <c r="H139" s="167">
        <f>((F139*1000)/AC139)/52</f>
        <v>4.6367337026263842</v>
      </c>
      <c r="I139" s="325"/>
      <c r="J139" s="169"/>
      <c r="K139" s="301">
        <f>SUMIF($D$5:$D$132,"S",K$5:K$132)</f>
        <v>368293.99999999994</v>
      </c>
      <c r="L139" s="162">
        <f>((K139*1000)/X139)/52</f>
        <v>4.8947946234051383</v>
      </c>
      <c r="M139" s="162">
        <f>((K139*1000)/AD139)/52</f>
        <v>1.7610262999584287</v>
      </c>
      <c r="N139" s="170"/>
      <c r="O139" s="171">
        <f>SUMIF($D$5:$D$132,"S",O$5:O$132)</f>
        <v>259086.77</v>
      </c>
      <c r="P139" s="165">
        <f>((O139*1000)/Y139)/52</f>
        <v>6.3268490116473686</v>
      </c>
      <c r="Q139" s="165">
        <f>((O139*1000)/AE139)/52</f>
        <v>2.2003577799060752</v>
      </c>
      <c r="R139" s="171">
        <f>SUMIF($D$5:$D$132,"S",R$5:R$132)</f>
        <v>34836.959999999999</v>
      </c>
      <c r="S139" s="165">
        <f>((R139*1000)/Z139)/52</f>
        <v>8.2188305971015474</v>
      </c>
      <c r="T139" s="165">
        <f>((R139*1000)/AF139)/52</f>
        <v>3.0717642872498581</v>
      </c>
      <c r="V139" s="333">
        <f>SUMIF($D$5:$D$132,"S",V$5:V$132)</f>
        <v>1611156</v>
      </c>
      <c r="W139" s="172">
        <f>SUMIF($D$5:$D$132,"S",W$5:W$132)</f>
        <v>1468062</v>
      </c>
      <c r="X139" s="215">
        <f>SUMIF($D$5:$D$132,"S",X$5:X$132)</f>
        <v>1446961</v>
      </c>
      <c r="Y139" s="171">
        <f>SUMIF($D$5:$D$132,"S",Y$5:Y$132)</f>
        <v>787507</v>
      </c>
      <c r="Z139" s="171">
        <f>SUMIF($D$5:$D$132,"S",Z$5:Z$132)</f>
        <v>81513</v>
      </c>
      <c r="AB139" s="8">
        <f t="shared" ref="AB139:AH139" si="43">SUMIF($D$5:$D$132,"S",AB$5:AB$132)</f>
        <v>4474485</v>
      </c>
      <c r="AC139" s="172">
        <f t="shared" si="43"/>
        <v>4088707.7115115174</v>
      </c>
      <c r="AD139" s="215">
        <f t="shared" si="43"/>
        <v>4021846.1945992033</v>
      </c>
      <c r="AE139" s="171">
        <f t="shared" si="43"/>
        <v>2264376.2437707135</v>
      </c>
      <c r="AF139" s="171">
        <f t="shared" si="43"/>
        <v>218096.66231302379</v>
      </c>
      <c r="AG139" s="171">
        <f t="shared" si="43"/>
        <v>3</v>
      </c>
      <c r="AH139" s="171">
        <f t="shared" si="43"/>
        <v>25</v>
      </c>
    </row>
    <row r="140" spans="1:35" x14ac:dyDescent="0.2">
      <c r="B140" s="276"/>
      <c r="C140" s="276" t="s">
        <v>19</v>
      </c>
      <c r="D140" s="168"/>
      <c r="E140" s="173"/>
      <c r="F140" s="172">
        <f>SUMIF($D$5:$D$132,"E",F$5:F$132)</f>
        <v>344172.79999999999</v>
      </c>
      <c r="G140" s="167">
        <f>((F140*1000)/W140)/52</f>
        <v>11.703175844150614</v>
      </c>
      <c r="H140" s="167">
        <f>((F140*1000)/AC140)/52</f>
        <v>4.6785629489050633</v>
      </c>
      <c r="I140" s="325"/>
      <c r="J140" s="169"/>
      <c r="K140" s="301">
        <f>SUMIF($D$5:$D$132,"E",K$5:K$132)</f>
        <v>144971.00999999998</v>
      </c>
      <c r="L140" s="162">
        <f>((K140*1000)/X140)/52</f>
        <v>4.9169123240292167</v>
      </c>
      <c r="M140" s="162">
        <f>((K140*1000)/AD140)/52</f>
        <v>1.9658927080546553</v>
      </c>
      <c r="N140" s="173"/>
      <c r="O140" s="174">
        <f>SUMIF($D$5:$D$132,"E",O$5:O$132)</f>
        <v>109517.39</v>
      </c>
      <c r="P140" s="165">
        <f>((O140*1000)/Y140)/52</f>
        <v>4.9261203772440201</v>
      </c>
      <c r="Q140" s="165">
        <f>((O140*1000)/AE140)/52</f>
        <v>1.9030083099221728</v>
      </c>
      <c r="R140" s="174">
        <f>SUMIF($D$5:$D$132,"E",R$5:R$132)</f>
        <v>15945.759999999998</v>
      </c>
      <c r="S140" s="165">
        <f>((R140*1000)/Z140)/52</f>
        <v>9.2361444164100703</v>
      </c>
      <c r="T140" s="165">
        <f t="shared" ref="T140:T141" si="44">((R140*1000)/AF140)/52</f>
        <v>3.6818287592735293</v>
      </c>
      <c r="V140" s="333">
        <f>SUMIF($D$5:$D$132,"E",V$5:V$132)</f>
        <v>572568</v>
      </c>
      <c r="W140" s="172">
        <f>SUMIF($D$5:$D$132,"E",W$5:W$132)</f>
        <v>565548</v>
      </c>
      <c r="X140" s="215">
        <f>SUMIF($D$5:$D$132,"E",X$5:X$132)</f>
        <v>567003</v>
      </c>
      <c r="Y140" s="174">
        <f>SUMIF($D$5:$D$132,"E",Y$5:Y$132)</f>
        <v>427538</v>
      </c>
      <c r="Z140" s="174">
        <f>SUMIF($D$5:$D$132,"E",Z$5:Z$132)</f>
        <v>33201</v>
      </c>
      <c r="AB140" s="8">
        <f t="shared" ref="AB140:AH140" si="45">SUMIF($D$5:$D$132,"E",AB$5:AB$132)</f>
        <v>1430112</v>
      </c>
      <c r="AC140" s="172">
        <f t="shared" si="45"/>
        <v>1414688.1776714548</v>
      </c>
      <c r="AD140" s="215">
        <f t="shared" si="45"/>
        <v>1418136.4156034244</v>
      </c>
      <c r="AE140" s="174">
        <f t="shared" si="45"/>
        <v>1106723.309018176</v>
      </c>
      <c r="AF140" s="174">
        <f t="shared" si="45"/>
        <v>83287.206119204857</v>
      </c>
      <c r="AG140" s="174">
        <f t="shared" si="45"/>
        <v>2</v>
      </c>
      <c r="AH140" s="174">
        <f t="shared" si="45"/>
        <v>8</v>
      </c>
    </row>
    <row r="141" spans="1:35" x14ac:dyDescent="0.2">
      <c r="B141" s="276"/>
      <c r="C141" s="276" t="s">
        <v>20</v>
      </c>
      <c r="D141" s="168"/>
      <c r="E141" s="173"/>
      <c r="F141" s="176">
        <f>SUMIF($D$5:$D$132,"R",F$5:F$132)</f>
        <v>145847.06</v>
      </c>
      <c r="G141" s="167">
        <f>((F141*1000)/W141)/52</f>
        <v>8.89993163054916</v>
      </c>
      <c r="H141" s="167">
        <f>((F141*1000)/AC141)/52</f>
        <v>3.8578309736510858</v>
      </c>
      <c r="I141" s="325"/>
      <c r="J141" s="169"/>
      <c r="K141" s="301">
        <f>SUMIF($D$5:$D$132,"R",K$5:K$132)</f>
        <v>89213.52</v>
      </c>
      <c r="L141" s="162">
        <f>((K141*1000)/X141)/52</f>
        <v>5.4863583800525584</v>
      </c>
      <c r="M141" s="162">
        <f>((K141*1000)/AD141)/52</f>
        <v>2.3815513007014473</v>
      </c>
      <c r="N141" s="173"/>
      <c r="O141" s="175">
        <f>SUMIF($D$5:$D$132,"R",O$5:O$132)</f>
        <v>32378.280000000002</v>
      </c>
      <c r="P141" s="165">
        <f>((O141*1000)/Y141)/52</f>
        <v>5.5106000439782186</v>
      </c>
      <c r="Q141" s="165">
        <f>((O141*1000)/AE141)/52</f>
        <v>2.5490847993060815</v>
      </c>
      <c r="R141" s="175">
        <f>SUMIF($D$5:$D$132,"R",R$5:R$132)</f>
        <v>57981.890000000007</v>
      </c>
      <c r="S141" s="165">
        <f>((R141*1000)/Z141)/52</f>
        <v>7.7811329110526612</v>
      </c>
      <c r="T141" s="165">
        <f t="shared" si="44"/>
        <v>3.2628238118400934</v>
      </c>
      <c r="V141" s="333">
        <f>SUMIF($D$5:$D$132,"R",V$5:V$132)</f>
        <v>357435</v>
      </c>
      <c r="W141" s="176">
        <f>SUMIF($D$5:$D$132,"R",W$5:W$132)</f>
        <v>315143</v>
      </c>
      <c r="X141" s="215">
        <f>SUMIF($D$5:$D$132,"R",X$5:X$132)</f>
        <v>312711</v>
      </c>
      <c r="Y141" s="175">
        <f>SUMIF($D$5:$D$132,"R",Y$5:Y$132)</f>
        <v>112993</v>
      </c>
      <c r="Z141" s="175">
        <f>SUMIF($D$5:$D$132,"R",Z$5:Z$132)</f>
        <v>143300</v>
      </c>
      <c r="AB141" s="8">
        <f t="shared" ref="AB141:AH141" si="46">SUMIF($D$5:$D$132,"R",AB$5:AB$132)</f>
        <v>800741</v>
      </c>
      <c r="AC141" s="176">
        <f t="shared" si="46"/>
        <v>727028.00433781371</v>
      </c>
      <c r="AD141" s="215">
        <f t="shared" si="46"/>
        <v>720389.52714531077</v>
      </c>
      <c r="AE141" s="175">
        <f t="shared" si="46"/>
        <v>244267.75874177777</v>
      </c>
      <c r="AF141" s="175">
        <f t="shared" si="46"/>
        <v>341739.67411529139</v>
      </c>
      <c r="AG141" s="175">
        <f t="shared" si="46"/>
        <v>10</v>
      </c>
      <c r="AH141" s="175">
        <f t="shared" si="46"/>
        <v>6</v>
      </c>
    </row>
    <row r="142" spans="1:35" x14ac:dyDescent="0.2">
      <c r="B142" s="276"/>
      <c r="C142" s="276" t="s">
        <v>21</v>
      </c>
      <c r="D142" s="168"/>
      <c r="E142" s="177"/>
      <c r="F142" s="172">
        <f>SUMIF($D$5:$D$132,"N",F$5:F$132)</f>
        <v>211313.19999999995</v>
      </c>
      <c r="G142" s="167">
        <f>((F142*1000)/W142)/52</f>
        <v>10.515446639208449</v>
      </c>
      <c r="H142" s="167">
        <f>((F142*1000)/AC142)/52</f>
        <v>4.5734369014788303</v>
      </c>
      <c r="I142" s="325"/>
      <c r="J142" s="169"/>
      <c r="K142" s="301">
        <f>SUMIF($D$5:$D$132,"N",K$5:K$132)</f>
        <v>76580.820000000007</v>
      </c>
      <c r="L142" s="162">
        <f>((K142*1000)/X142)/52</f>
        <v>4.2703653203208107</v>
      </c>
      <c r="M142" s="162">
        <f>((K142*1000)/AD142)/52</f>
        <v>1.8410343594556589</v>
      </c>
      <c r="N142" s="177"/>
      <c r="O142" s="175">
        <f>SUMIF($D$5:$D$132,"N",O$5:O$132)</f>
        <v>24194.670000000002</v>
      </c>
      <c r="P142" s="165">
        <f>((O142*1000)/Y142)/52</f>
        <v>4.4002469773464679</v>
      </c>
      <c r="Q142" s="165">
        <f>((O142*1000)/AE142)/52</f>
        <v>1.9362864333182708</v>
      </c>
      <c r="R142" s="175">
        <f>SUMIF($D$5:$D$132,"N",R$5:R$132)</f>
        <v>30685.649999999998</v>
      </c>
      <c r="S142" s="165">
        <f>((R142*1000)/Z142)/52</f>
        <v>5.7073229251526065</v>
      </c>
      <c r="T142" s="165">
        <f>((R142*1000)/AF142)/52</f>
        <v>2.4641390669876824</v>
      </c>
      <c r="V142" s="333">
        <f>SUMIF($D$5:$D$132,"N",V$5:V$132)</f>
        <v>455452</v>
      </c>
      <c r="W142" s="172">
        <f>SUMIF($D$5:$D$132,"N",W$5:W$132)</f>
        <v>386452</v>
      </c>
      <c r="X142" s="215">
        <f>SUMIF($D$5:$D$132,"N",X$5:X$132)</f>
        <v>344867</v>
      </c>
      <c r="Y142" s="175">
        <f>SUMIF($D$5:$D$132,"N",Y$5:Y$132)</f>
        <v>105740</v>
      </c>
      <c r="Z142" s="175">
        <f>SUMIF($D$5:$D$132,"N",Z$5:Z$132)</f>
        <v>103395</v>
      </c>
      <c r="AB142" s="8">
        <f t="shared" ref="AB142:AH142" si="47">SUMIF($D$5:$D$132,"N",AB$5:AB$132)</f>
        <v>1020502</v>
      </c>
      <c r="AC142" s="172">
        <f t="shared" si="47"/>
        <v>888547.38179537863</v>
      </c>
      <c r="AD142" s="215">
        <f t="shared" si="47"/>
        <v>799935.13937377813</v>
      </c>
      <c r="AE142" s="175">
        <f t="shared" si="47"/>
        <v>240296.11909599957</v>
      </c>
      <c r="AF142" s="175">
        <f t="shared" si="47"/>
        <v>239478.63241644858</v>
      </c>
      <c r="AG142" s="175">
        <f t="shared" si="47"/>
        <v>17</v>
      </c>
      <c r="AH142" s="175">
        <f t="shared" si="47"/>
        <v>11</v>
      </c>
    </row>
    <row r="143" spans="1:35" x14ac:dyDescent="0.2">
      <c r="A143" s="180"/>
      <c r="B143" s="656"/>
      <c r="C143" s="656"/>
      <c r="D143" s="656"/>
    </row>
    <row r="144" spans="1:35" s="118" customFormat="1" ht="11.25" x14ac:dyDescent="0.2">
      <c r="A144" s="416"/>
      <c r="B144" s="276"/>
      <c r="C144" s="276" t="s">
        <v>18</v>
      </c>
      <c r="D144" s="417"/>
      <c r="E144" s="418"/>
      <c r="F144" s="419">
        <f>F139/$F$134</f>
        <v>0.58431196292946364</v>
      </c>
      <c r="I144" s="414"/>
      <c r="J144" s="116"/>
      <c r="K144" s="419">
        <f>K139/$K$134</f>
        <v>0.54235907362147362</v>
      </c>
      <c r="L144" s="420">
        <f>L139*52</f>
        <v>254.5293204170672</v>
      </c>
      <c r="M144" s="420">
        <f>M139*52</f>
        <v>91.573367597838299</v>
      </c>
      <c r="N144" s="418"/>
      <c r="O144" s="419">
        <f>O139/$O$134</f>
        <v>0.60936199034797511</v>
      </c>
      <c r="P144" s="414"/>
      <c r="Q144" s="414"/>
      <c r="R144" s="419">
        <f>(R139+O139)/(R134+O134)</f>
        <v>0.5205623135130697</v>
      </c>
      <c r="U144" s="276"/>
      <c r="V144" s="276" t="s">
        <v>17</v>
      </c>
      <c r="W144" s="411">
        <f>W134/V134</f>
        <v>0.91276612146187808</v>
      </c>
      <c r="X144" s="411">
        <f>X134/V134</f>
        <v>0.89152112169380682</v>
      </c>
      <c r="Y144" s="411">
        <f>Y134/V134</f>
        <v>0.47846650766482535</v>
      </c>
      <c r="Z144" s="411">
        <f>Z134/V134</f>
        <v>0.12060591114428933</v>
      </c>
    </row>
    <row r="145" spans="2:26" s="118" customFormat="1" ht="11.25" x14ac:dyDescent="0.2">
      <c r="B145" s="276"/>
      <c r="C145" s="276" t="s">
        <v>19</v>
      </c>
      <c r="E145" s="418"/>
      <c r="F145" s="419">
        <f t="shared" ref="F145:F147" si="48">F140/$F$134</f>
        <v>0.20399511131711115</v>
      </c>
      <c r="I145" s="414"/>
      <c r="J145" s="116"/>
      <c r="K145" s="419">
        <f t="shared" ref="K145:K147" si="49">K140/$K$134</f>
        <v>0.21348798157333376</v>
      </c>
      <c r="L145" s="420">
        <f t="shared" ref="L145:M147" si="50">L140*52</f>
        <v>255.67944084951927</v>
      </c>
      <c r="M145" s="420">
        <f t="shared" si="50"/>
        <v>102.22642081884207</v>
      </c>
      <c r="N145" s="418"/>
      <c r="O145" s="419">
        <f t="shared" ref="O145:O147" si="51">O140/$O$134</f>
        <v>0.25758063504406431</v>
      </c>
      <c r="P145" s="414"/>
      <c r="Q145" s="414"/>
      <c r="R145" s="421"/>
      <c r="U145" s="276"/>
      <c r="V145" s="276" t="s">
        <v>18</v>
      </c>
      <c r="W145" s="411">
        <f>W139/$V139</f>
        <v>0.91118550903823092</v>
      </c>
      <c r="X145" s="411">
        <f>X139/$V139</f>
        <v>0.89808870152859188</v>
      </c>
      <c r="Y145" s="411">
        <f t="shared" ref="Y145" si="52">Y139/$V139</f>
        <v>0.48878382974708845</v>
      </c>
      <c r="Z145" s="411">
        <f>Z139/$V139</f>
        <v>5.0592866240140623E-2</v>
      </c>
    </row>
    <row r="146" spans="2:26" s="118" customFormat="1" ht="11.25" x14ac:dyDescent="0.2">
      <c r="B146" s="276"/>
      <c r="C146" s="276" t="s">
        <v>20</v>
      </c>
      <c r="E146" s="418"/>
      <c r="F146" s="419">
        <f t="shared" si="48"/>
        <v>8.6445202061212825E-2</v>
      </c>
      <c r="I146" s="414"/>
      <c r="J146" s="116"/>
      <c r="K146" s="419">
        <f t="shared" si="49"/>
        <v>0.13137808941147783</v>
      </c>
      <c r="L146" s="420">
        <f t="shared" si="50"/>
        <v>285.29063576273302</v>
      </c>
      <c r="M146" s="420">
        <f t="shared" si="50"/>
        <v>123.84066763647526</v>
      </c>
      <c r="N146" s="418"/>
      <c r="O146" s="419">
        <f t="shared" si="51"/>
        <v>7.6152453268239204E-2</v>
      </c>
      <c r="P146" s="414"/>
      <c r="Q146" s="414"/>
      <c r="R146" s="414"/>
      <c r="U146" s="276"/>
      <c r="V146" s="276" t="s">
        <v>19</v>
      </c>
      <c r="W146" s="411">
        <f t="shared" ref="W146" si="53">W140/$V140</f>
        <v>0.98773944754160203</v>
      </c>
      <c r="X146" s="411">
        <f t="shared" ref="X146:Z148" si="54">X140/$V140</f>
        <v>0.99028063042293668</v>
      </c>
      <c r="Y146" s="411">
        <f t="shared" si="54"/>
        <v>0.74670257506531978</v>
      </c>
      <c r="Z146" s="411">
        <f t="shared" si="54"/>
        <v>5.7986125665423147E-2</v>
      </c>
    </row>
    <row r="147" spans="2:26" s="118" customFormat="1" ht="11.25" x14ac:dyDescent="0.2">
      <c r="B147" s="276"/>
      <c r="C147" s="276" t="s">
        <v>21</v>
      </c>
      <c r="E147" s="418"/>
      <c r="F147" s="419">
        <f t="shared" si="48"/>
        <v>0.12524772369221207</v>
      </c>
      <c r="I147" s="414"/>
      <c r="J147" s="116"/>
      <c r="K147" s="419">
        <f t="shared" si="49"/>
        <v>0.11277485539371489</v>
      </c>
      <c r="L147" s="420">
        <f t="shared" si="50"/>
        <v>222.05899665668215</v>
      </c>
      <c r="M147" s="420">
        <f t="shared" si="50"/>
        <v>95.733786691694263</v>
      </c>
      <c r="N147" s="418"/>
      <c r="O147" s="419">
        <f t="shared" si="51"/>
        <v>5.6904921339721228E-2</v>
      </c>
      <c r="P147" s="414"/>
      <c r="Q147" s="414"/>
      <c r="R147" s="414"/>
      <c r="U147" s="276"/>
      <c r="V147" s="276" t="s">
        <v>20</v>
      </c>
      <c r="W147" s="411">
        <f t="shared" ref="W147" si="55">W141/$V141</f>
        <v>0.88167918642550391</v>
      </c>
      <c r="X147" s="411">
        <f t="shared" si="54"/>
        <v>0.87487515212556133</v>
      </c>
      <c r="Y147" s="411">
        <f t="shared" si="54"/>
        <v>0.31612181235749159</v>
      </c>
      <c r="Z147" s="411">
        <f t="shared" si="54"/>
        <v>0.40091205393987717</v>
      </c>
    </row>
    <row r="148" spans="2:26" s="118" customFormat="1" ht="11.25" x14ac:dyDescent="0.2">
      <c r="E148" s="418"/>
      <c r="I148" s="414"/>
      <c r="J148" s="116"/>
      <c r="K148" s="106"/>
      <c r="L148" s="420">
        <f>L136*52</f>
        <v>254.18254700843178</v>
      </c>
      <c r="M148" s="420">
        <f>M136*52</f>
        <v>97.561691316569934</v>
      </c>
      <c r="N148" s="418"/>
      <c r="O148" s="414"/>
      <c r="P148" s="414"/>
      <c r="Q148" s="414"/>
      <c r="R148" s="414"/>
      <c r="V148" s="276" t="s">
        <v>21</v>
      </c>
      <c r="W148" s="411">
        <f t="shared" ref="W148" si="56">W142/$V142</f>
        <v>0.84850214731739015</v>
      </c>
      <c r="X148" s="411">
        <f t="shared" si="54"/>
        <v>0.75719724581295067</v>
      </c>
      <c r="Y148" s="411">
        <f t="shared" si="54"/>
        <v>0.2321649701834661</v>
      </c>
      <c r="Z148" s="411">
        <f t="shared" si="54"/>
        <v>0.22701623881331073</v>
      </c>
    </row>
    <row r="149" spans="2:26" s="118" customFormat="1" ht="11.25" x14ac:dyDescent="0.2">
      <c r="E149" s="418"/>
      <c r="I149" s="414"/>
      <c r="J149" s="116"/>
      <c r="K149" s="106"/>
      <c r="L149" s="420"/>
      <c r="M149" s="420"/>
      <c r="N149" s="418"/>
      <c r="O149" s="414"/>
      <c r="P149" s="414"/>
      <c r="Q149" s="414"/>
      <c r="R149" s="414"/>
      <c r="V149" s="422"/>
      <c r="X149" s="411"/>
      <c r="Z149" s="411"/>
    </row>
    <row r="150" spans="2:26" x14ac:dyDescent="0.2">
      <c r="X150" s="413"/>
      <c r="Y150" s="413"/>
      <c r="Z150" s="413"/>
    </row>
    <row r="151" spans="2:26" x14ac:dyDescent="0.2">
      <c r="P151" s="584"/>
      <c r="X151" s="413"/>
      <c r="Z151" s="413"/>
    </row>
    <row r="152" spans="2:26" x14ac:dyDescent="0.2">
      <c r="X152" s="413"/>
      <c r="Z152" s="413"/>
    </row>
    <row r="153" spans="2:26" x14ac:dyDescent="0.2">
      <c r="Z153" s="413"/>
    </row>
  </sheetData>
  <sortState ref="A5:AI132">
    <sortCondition ref="A5:A132"/>
  </sortState>
  <mergeCells count="12">
    <mergeCell ref="AC4:AF4"/>
    <mergeCell ref="W4:Z4"/>
    <mergeCell ref="O2:T2"/>
    <mergeCell ref="W2:Z2"/>
    <mergeCell ref="AB2:AF2"/>
    <mergeCell ref="B143:D143"/>
    <mergeCell ref="K3:M3"/>
    <mergeCell ref="O3:T3"/>
    <mergeCell ref="A134:C134"/>
    <mergeCell ref="A136:C136"/>
    <mergeCell ref="A138:C138"/>
    <mergeCell ref="F138:T138"/>
  </mergeCells>
  <hyperlinks>
    <hyperlink ref="G4" location="'2009-10'!A160" display="Bottom" xr:uid="{00000000-0004-0000-0600-000000000000}"/>
    <hyperlink ref="F4" location="'2009-10'!A160" display="Bottom" xr:uid="{00000000-0004-0000-0600-000001000000}"/>
    <hyperlink ref="D62" location="'2009-10'!A160" display="Bottom" xr:uid="{00000000-0004-0000-0600-000002000000}"/>
  </hyperlinks>
  <printOptions horizontalCentered="1"/>
  <pageMargins left="0.23622047244094491" right="0.23622047244094491" top="0.15748031496062992" bottom="0.15748031496062992" header="0.11811023622047245" footer="0.11811023622047245"/>
  <pageSetup paperSize="9" scale="36" fitToHeight="0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49"/>
  <sheetViews>
    <sheetView workbookViewId="0">
      <pane xSplit="9" ySplit="4" topLeftCell="J107" activePane="bottomRight" state="frozen"/>
      <selection activeCell="B36" sqref="B36"/>
      <selection pane="topRight" activeCell="B36" sqref="B36"/>
      <selection pane="bottomLeft" activeCell="B36" sqref="B36"/>
      <selection pane="bottomRight" activeCell="C135" sqref="C135"/>
    </sheetView>
  </sheetViews>
  <sheetFormatPr defaultRowHeight="12.75" x14ac:dyDescent="0.2"/>
  <cols>
    <col min="1" max="1" width="7.42578125" style="78" customWidth="1"/>
    <col min="2" max="2" width="26" style="78" bestFit="1" customWidth="1"/>
    <col min="3" max="3" width="13.5703125" style="78" bestFit="1" customWidth="1"/>
    <col min="4" max="4" width="3" style="78" customWidth="1"/>
    <col min="5" max="5" width="0.85546875" style="94" customWidth="1"/>
    <col min="6" max="6" width="11.140625" style="96" bestFit="1" customWidth="1"/>
    <col min="7" max="8" width="9.28515625" style="96" bestFit="1" customWidth="1"/>
    <col min="9" max="9" width="0.85546875" style="94" customWidth="1"/>
    <col min="10" max="10" width="11.140625" style="96" bestFit="1" customWidth="1"/>
    <col min="11" max="12" width="9.28515625" style="96" bestFit="1" customWidth="1"/>
    <col min="13" max="13" width="0.85546875" style="94" customWidth="1"/>
    <col min="14" max="14" width="11.140625" style="96" bestFit="1" customWidth="1"/>
    <col min="15" max="16" width="9.28515625" style="96" bestFit="1" customWidth="1"/>
    <col min="17" max="17" width="11.140625" style="96" bestFit="1" customWidth="1"/>
    <col min="18" max="19" width="9.28515625" style="96" bestFit="1" customWidth="1"/>
    <col min="20" max="20" width="0.85546875" style="94" customWidth="1"/>
    <col min="21" max="21" width="9.85546875" style="22" bestFit="1" customWidth="1"/>
    <col min="22" max="22" width="7.140625" style="78" bestFit="1" customWidth="1"/>
    <col min="23" max="23" width="9.28515625" style="78" bestFit="1" customWidth="1"/>
    <col min="24" max="24" width="18.7109375" style="78" bestFit="1" customWidth="1"/>
    <col min="25" max="16384" width="9.140625" style="78"/>
  </cols>
  <sheetData>
    <row r="1" spans="1:23" s="62" customFormat="1" ht="15.75" x14ac:dyDescent="0.25">
      <c r="A1" s="440" t="s">
        <v>311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23"/>
      <c r="Q1" s="440"/>
      <c r="R1" s="440"/>
      <c r="S1" s="423"/>
      <c r="T1" s="317"/>
      <c r="U1" s="21"/>
    </row>
    <row r="2" spans="1:23" s="68" customFormat="1" ht="15.75" x14ac:dyDescent="0.25">
      <c r="A2" s="63"/>
      <c r="B2" s="64"/>
      <c r="C2" s="64"/>
      <c r="D2" s="64"/>
      <c r="E2" s="64"/>
      <c r="F2" s="65"/>
      <c r="G2" s="65"/>
      <c r="H2" s="65"/>
      <c r="I2" s="64"/>
      <c r="J2" s="65"/>
      <c r="K2" s="65"/>
      <c r="L2" s="65"/>
      <c r="M2" s="64"/>
      <c r="N2" s="65"/>
      <c r="O2" s="65"/>
      <c r="P2" s="65"/>
      <c r="Q2" s="65"/>
      <c r="R2" s="65"/>
      <c r="S2" s="65"/>
      <c r="T2" s="64"/>
      <c r="U2" s="405"/>
    </row>
    <row r="3" spans="1:23" s="73" customFormat="1" ht="15.75" customHeight="1" x14ac:dyDescent="0.25">
      <c r="A3" s="69"/>
      <c r="B3" s="70"/>
      <c r="C3" s="64"/>
      <c r="D3" s="71"/>
      <c r="E3" s="71"/>
      <c r="F3" s="678" t="s">
        <v>39</v>
      </c>
      <c r="G3" s="679"/>
      <c r="H3" s="679"/>
      <c r="I3" s="71"/>
      <c r="J3" s="658" t="s">
        <v>62</v>
      </c>
      <c r="K3" s="677"/>
      <c r="L3" s="677"/>
      <c r="M3" s="183"/>
      <c r="N3" s="680" t="s">
        <v>314</v>
      </c>
      <c r="O3" s="680"/>
      <c r="P3" s="680"/>
      <c r="Q3" s="676" t="s">
        <v>102</v>
      </c>
      <c r="R3" s="676"/>
      <c r="S3" s="676"/>
      <c r="T3" s="183"/>
      <c r="U3" s="97"/>
    </row>
    <row r="4" spans="1:23" ht="33.75" x14ac:dyDescent="0.2">
      <c r="A4" s="364" t="s">
        <v>285</v>
      </c>
      <c r="B4" s="445" t="s">
        <v>286</v>
      </c>
      <c r="C4" s="444" t="s">
        <v>108</v>
      </c>
      <c r="D4" s="446" t="s">
        <v>11</v>
      </c>
      <c r="E4" s="184"/>
      <c r="F4" s="187" t="s">
        <v>65</v>
      </c>
      <c r="G4" s="188" t="s">
        <v>66</v>
      </c>
      <c r="H4" s="424" t="s">
        <v>277</v>
      </c>
      <c r="I4" s="184"/>
      <c r="J4" s="185" t="s">
        <v>65</v>
      </c>
      <c r="K4" s="185" t="s">
        <v>66</v>
      </c>
      <c r="L4" s="426" t="s">
        <v>41</v>
      </c>
      <c r="M4" s="184"/>
      <c r="N4" s="186" t="s">
        <v>65</v>
      </c>
      <c r="O4" s="186" t="s">
        <v>66</v>
      </c>
      <c r="P4" s="313" t="s">
        <v>282</v>
      </c>
      <c r="Q4" s="563" t="s">
        <v>65</v>
      </c>
      <c r="R4" s="563" t="s">
        <v>66</v>
      </c>
      <c r="S4" s="566" t="s">
        <v>279</v>
      </c>
      <c r="T4" s="184"/>
      <c r="U4" s="427" t="s">
        <v>278</v>
      </c>
      <c r="V4" s="427" t="s">
        <v>281</v>
      </c>
      <c r="W4" s="441" t="s">
        <v>26</v>
      </c>
    </row>
    <row r="5" spans="1:23" x14ac:dyDescent="0.2">
      <c r="A5" s="377">
        <v>10050</v>
      </c>
      <c r="B5" s="377" t="s">
        <v>124</v>
      </c>
      <c r="C5" s="377" t="s">
        <v>703</v>
      </c>
      <c r="D5" s="404" t="s">
        <v>2</v>
      </c>
      <c r="E5" s="189"/>
      <c r="F5" s="193" t="s">
        <v>73</v>
      </c>
      <c r="G5" s="194" t="s">
        <v>312</v>
      </c>
      <c r="H5" s="425">
        <v>5.7083495236691544</v>
      </c>
      <c r="I5" s="189"/>
      <c r="J5" s="190" t="s">
        <v>76</v>
      </c>
      <c r="K5" s="191" t="s">
        <v>312</v>
      </c>
      <c r="L5" s="428">
        <v>4.6184328648185122</v>
      </c>
      <c r="M5" s="189"/>
      <c r="N5" s="192"/>
      <c r="O5" s="192"/>
      <c r="P5" s="429"/>
      <c r="Q5" s="564" t="s">
        <v>76</v>
      </c>
      <c r="R5" s="564" t="s">
        <v>74</v>
      </c>
      <c r="S5" s="567">
        <v>8.4024325700427429</v>
      </c>
      <c r="T5" s="189"/>
      <c r="U5" s="260">
        <f t="shared" ref="U5:U36" si="0">H5+L5+P5+S5</f>
        <v>18.72921495853041</v>
      </c>
      <c r="V5" s="570">
        <v>4</v>
      </c>
      <c r="W5" s="412">
        <f>'App 3-Recycling Rate'!S6</f>
        <v>0.61487310743294143</v>
      </c>
    </row>
    <row r="6" spans="1:23" x14ac:dyDescent="0.2">
      <c r="A6" s="376">
        <v>10130</v>
      </c>
      <c r="B6" s="376" t="s">
        <v>126</v>
      </c>
      <c r="C6" s="376" t="s">
        <v>125</v>
      </c>
      <c r="D6" s="404" t="s">
        <v>2</v>
      </c>
      <c r="E6" s="189"/>
      <c r="F6" s="193" t="s">
        <v>73</v>
      </c>
      <c r="G6" s="194" t="s">
        <v>74</v>
      </c>
      <c r="H6" s="425">
        <v>10.415582015367313</v>
      </c>
      <c r="I6" s="189"/>
      <c r="J6" s="190" t="s">
        <v>79</v>
      </c>
      <c r="K6" s="191" t="s">
        <v>74</v>
      </c>
      <c r="L6" s="428">
        <v>3.6585832059038625</v>
      </c>
      <c r="M6" s="189"/>
      <c r="N6" s="192"/>
      <c r="O6" s="192"/>
      <c r="P6" s="429"/>
      <c r="Q6" s="564" t="s">
        <v>76</v>
      </c>
      <c r="R6" s="564" t="s">
        <v>312</v>
      </c>
      <c r="S6" s="567">
        <v>5.1691194296540397</v>
      </c>
      <c r="T6" s="189"/>
      <c r="U6" s="260">
        <f t="shared" si="0"/>
        <v>19.243284650925215</v>
      </c>
      <c r="V6" s="570">
        <v>4</v>
      </c>
      <c r="W6" s="412">
        <f>'App 3-Recycling Rate'!S7</f>
        <v>0.47301851995113819</v>
      </c>
    </row>
    <row r="7" spans="1:23" x14ac:dyDescent="0.2">
      <c r="A7" s="376">
        <v>10250</v>
      </c>
      <c r="B7" s="376" t="s">
        <v>132</v>
      </c>
      <c r="C7" s="376" t="s">
        <v>131</v>
      </c>
      <c r="D7" s="404" t="s">
        <v>5</v>
      </c>
      <c r="E7" s="189"/>
      <c r="F7" s="193" t="s">
        <v>76</v>
      </c>
      <c r="G7" s="194" t="s">
        <v>312</v>
      </c>
      <c r="H7" s="425">
        <v>8.5430611430949579</v>
      </c>
      <c r="I7" s="189"/>
      <c r="J7" s="190" t="s">
        <v>76</v>
      </c>
      <c r="K7" s="191" t="s">
        <v>312</v>
      </c>
      <c r="L7" s="428">
        <v>5.4574894222098909</v>
      </c>
      <c r="M7" s="189"/>
      <c r="N7" s="192"/>
      <c r="O7" s="192"/>
      <c r="P7" s="429"/>
      <c r="Q7" s="564" t="s">
        <v>76</v>
      </c>
      <c r="R7" s="564" t="s">
        <v>74</v>
      </c>
      <c r="S7" s="567">
        <v>8.1074959464296992</v>
      </c>
      <c r="T7" s="189"/>
      <c r="U7" s="260">
        <f t="shared" si="0"/>
        <v>22.10804651173455</v>
      </c>
      <c r="V7" s="570">
        <v>4</v>
      </c>
      <c r="W7" s="412">
        <f>'App 3-Recycling Rate'!S8</f>
        <v>0.61569401187414119</v>
      </c>
    </row>
    <row r="8" spans="1:23" x14ac:dyDescent="0.2">
      <c r="A8" s="376">
        <v>10300</v>
      </c>
      <c r="B8" s="376" t="s">
        <v>133</v>
      </c>
      <c r="C8" s="376" t="s">
        <v>703</v>
      </c>
      <c r="D8" s="404" t="s">
        <v>2</v>
      </c>
      <c r="E8" s="189"/>
      <c r="F8" s="193" t="s">
        <v>76</v>
      </c>
      <c r="G8" s="194" t="s">
        <v>74</v>
      </c>
      <c r="H8" s="425">
        <v>14.83050847457627</v>
      </c>
      <c r="I8" s="189"/>
      <c r="J8" s="190"/>
      <c r="K8" s="191"/>
      <c r="L8" s="428"/>
      <c r="M8" s="189"/>
      <c r="N8" s="192"/>
      <c r="O8" s="192"/>
      <c r="P8" s="429"/>
      <c r="Q8" s="564"/>
      <c r="R8" s="564"/>
      <c r="S8" s="567"/>
      <c r="T8" s="189"/>
      <c r="U8" s="260">
        <f t="shared" si="0"/>
        <v>14.83050847457627</v>
      </c>
      <c r="V8" s="570">
        <v>1</v>
      </c>
      <c r="W8" s="412">
        <f>'App 3-Recycling Rate'!S9</f>
        <v>0</v>
      </c>
    </row>
    <row r="9" spans="1:23" x14ac:dyDescent="0.2">
      <c r="A9" s="376">
        <v>10470</v>
      </c>
      <c r="B9" s="376" t="s">
        <v>135</v>
      </c>
      <c r="C9" s="376" t="s">
        <v>293</v>
      </c>
      <c r="D9" s="404" t="s">
        <v>2</v>
      </c>
      <c r="E9" s="189"/>
      <c r="F9" s="193" t="s">
        <v>76</v>
      </c>
      <c r="G9" s="194" t="s">
        <v>74</v>
      </c>
      <c r="H9" s="425">
        <v>13.966270982586414</v>
      </c>
      <c r="I9" s="189"/>
      <c r="J9" s="190" t="s">
        <v>76</v>
      </c>
      <c r="K9" s="191" t="s">
        <v>312</v>
      </c>
      <c r="L9" s="428">
        <v>3.5439859806474256</v>
      </c>
      <c r="M9" s="189"/>
      <c r="N9" s="192"/>
      <c r="O9" s="192"/>
      <c r="P9" s="429"/>
      <c r="Q9" s="564" t="s">
        <v>76</v>
      </c>
      <c r="R9" s="564" t="s">
        <v>74</v>
      </c>
      <c r="S9" s="567">
        <v>5.8694299700906631</v>
      </c>
      <c r="T9" s="189"/>
      <c r="U9" s="260">
        <f t="shared" si="0"/>
        <v>23.379686933324503</v>
      </c>
      <c r="V9" s="570">
        <v>4</v>
      </c>
      <c r="W9" s="412">
        <f>'App 3-Recycling Rate'!S10</f>
        <v>0.49338529248164564</v>
      </c>
    </row>
    <row r="10" spans="1:23" x14ac:dyDescent="0.2">
      <c r="A10" s="376">
        <v>10500</v>
      </c>
      <c r="B10" s="376" t="s">
        <v>149</v>
      </c>
      <c r="C10" s="376" t="s">
        <v>127</v>
      </c>
      <c r="D10" s="404" t="s">
        <v>4</v>
      </c>
      <c r="E10" s="189"/>
      <c r="F10" s="193" t="s">
        <v>76</v>
      </c>
      <c r="G10" s="194" t="s">
        <v>74</v>
      </c>
      <c r="H10" s="425">
        <v>19.308432391933994</v>
      </c>
      <c r="I10" s="189"/>
      <c r="J10" s="190" t="s">
        <v>76</v>
      </c>
      <c r="K10" s="191" t="s">
        <v>312</v>
      </c>
      <c r="L10" s="428">
        <v>5.2581449696588827</v>
      </c>
      <c r="M10" s="189"/>
      <c r="N10" s="192" t="s">
        <v>76</v>
      </c>
      <c r="O10" s="192" t="s">
        <v>312</v>
      </c>
      <c r="P10" s="429">
        <v>4.2219626828418306</v>
      </c>
      <c r="Q10" s="564"/>
      <c r="R10" s="564"/>
      <c r="S10" s="567"/>
      <c r="T10" s="189"/>
      <c r="U10" s="260">
        <f t="shared" si="0"/>
        <v>28.788540044434708</v>
      </c>
      <c r="V10" s="570">
        <v>3</v>
      </c>
      <c r="W10" s="412">
        <f>'App 3-Recycling Rate'!S11</f>
        <v>0.48682236290849618</v>
      </c>
    </row>
    <row r="11" spans="1:23" x14ac:dyDescent="0.2">
      <c r="A11" s="376">
        <v>10550</v>
      </c>
      <c r="B11" s="376" t="s">
        <v>138</v>
      </c>
      <c r="C11" s="376" t="s">
        <v>704</v>
      </c>
      <c r="D11" s="404" t="s">
        <v>2</v>
      </c>
      <c r="E11" s="189"/>
      <c r="F11" s="193" t="s">
        <v>73</v>
      </c>
      <c r="G11" s="194" t="s">
        <v>74</v>
      </c>
      <c r="H11" s="425">
        <v>10.427615862398472</v>
      </c>
      <c r="I11" s="189"/>
      <c r="J11" s="190" t="s">
        <v>76</v>
      </c>
      <c r="K11" s="191" t="s">
        <v>312</v>
      </c>
      <c r="L11" s="428">
        <v>4.7802197802197801</v>
      </c>
      <c r="M11" s="189"/>
      <c r="N11" s="192" t="s">
        <v>76</v>
      </c>
      <c r="O11" s="192" t="s">
        <v>80</v>
      </c>
      <c r="P11" s="429">
        <v>3.1794871794871797</v>
      </c>
      <c r="Q11" s="564"/>
      <c r="R11" s="564"/>
      <c r="S11" s="567"/>
      <c r="T11" s="189"/>
      <c r="U11" s="260">
        <f t="shared" si="0"/>
        <v>18.387322822105432</v>
      </c>
      <c r="V11" s="570">
        <v>3</v>
      </c>
      <c r="W11" s="412">
        <f>'App 3-Recycling Rate'!S12</f>
        <v>0.41361634385778723</v>
      </c>
    </row>
    <row r="12" spans="1:23" x14ac:dyDescent="0.2">
      <c r="A12" s="376">
        <v>10600</v>
      </c>
      <c r="B12" s="376" t="s">
        <v>139</v>
      </c>
      <c r="C12" s="376" t="s">
        <v>294</v>
      </c>
      <c r="D12" s="404" t="s">
        <v>5</v>
      </c>
      <c r="E12" s="189"/>
      <c r="F12" s="193" t="s">
        <v>76</v>
      </c>
      <c r="G12" s="194" t="s">
        <v>312</v>
      </c>
      <c r="H12" s="425">
        <v>6.7858229533136827</v>
      </c>
      <c r="I12" s="189"/>
      <c r="J12" s="190" t="s">
        <v>76</v>
      </c>
      <c r="K12" s="191" t="s">
        <v>312</v>
      </c>
      <c r="L12" s="428">
        <v>5.5539602548255207</v>
      </c>
      <c r="M12" s="189"/>
      <c r="N12" s="192"/>
      <c r="O12" s="192"/>
      <c r="P12" s="429"/>
      <c r="Q12" s="564" t="s">
        <v>76</v>
      </c>
      <c r="R12" s="564" t="s">
        <v>74</v>
      </c>
      <c r="S12" s="567">
        <v>6.702862032899116</v>
      </c>
      <c r="T12" s="189"/>
      <c r="U12" s="260">
        <f t="shared" si="0"/>
        <v>19.042645241038318</v>
      </c>
      <c r="V12" s="570">
        <v>4</v>
      </c>
      <c r="W12" s="412">
        <f>'App 3-Recycling Rate'!S13</f>
        <v>0.77376551940154925</v>
      </c>
    </row>
    <row r="13" spans="1:23" x14ac:dyDescent="0.2">
      <c r="A13" s="376">
        <v>10650</v>
      </c>
      <c r="B13" s="376" t="s">
        <v>140</v>
      </c>
      <c r="C13" s="376" t="s">
        <v>703</v>
      </c>
      <c r="D13" s="404" t="s">
        <v>2</v>
      </c>
      <c r="E13" s="189"/>
      <c r="F13" s="193" t="s">
        <v>75</v>
      </c>
      <c r="G13" s="194" t="s">
        <v>74</v>
      </c>
      <c r="H13" s="425">
        <v>7.0561782518304259</v>
      </c>
      <c r="I13" s="189"/>
      <c r="J13" s="190" t="s">
        <v>76</v>
      </c>
      <c r="K13" s="191" t="s">
        <v>312</v>
      </c>
      <c r="L13" s="428">
        <v>3.9772213685257163</v>
      </c>
      <c r="M13" s="189"/>
      <c r="N13" s="192"/>
      <c r="O13" s="192"/>
      <c r="P13" s="429"/>
      <c r="Q13" s="564"/>
      <c r="R13" s="564"/>
      <c r="S13" s="567"/>
      <c r="T13" s="189"/>
      <c r="U13" s="260">
        <f t="shared" si="0"/>
        <v>11.033399620356143</v>
      </c>
      <c r="V13" s="570">
        <v>2</v>
      </c>
      <c r="W13" s="412">
        <f>'App 3-Recycling Rate'!S14</f>
        <v>0.33955158049497675</v>
      </c>
    </row>
    <row r="14" spans="1:23" x14ac:dyDescent="0.2">
      <c r="A14" s="376">
        <v>10750</v>
      </c>
      <c r="B14" s="376" t="s">
        <v>141</v>
      </c>
      <c r="C14" s="376" t="s">
        <v>129</v>
      </c>
      <c r="D14" s="404" t="s">
        <v>4</v>
      </c>
      <c r="E14" s="189"/>
      <c r="F14" s="193" t="s">
        <v>76</v>
      </c>
      <c r="G14" s="194" t="s">
        <v>74</v>
      </c>
      <c r="H14" s="425">
        <v>18.588855566888419</v>
      </c>
      <c r="I14" s="189"/>
      <c r="J14" s="190" t="s">
        <v>76</v>
      </c>
      <c r="K14" s="191" t="s">
        <v>312</v>
      </c>
      <c r="L14" s="428">
        <v>4.3040293040293038</v>
      </c>
      <c r="M14" s="189"/>
      <c r="N14" s="192"/>
      <c r="O14" s="192"/>
      <c r="P14" s="429"/>
      <c r="Q14" s="564"/>
      <c r="R14" s="564"/>
      <c r="S14" s="567"/>
      <c r="T14" s="189"/>
      <c r="U14" s="260">
        <f t="shared" si="0"/>
        <v>22.892884870917722</v>
      </c>
      <c r="V14" s="570">
        <v>2</v>
      </c>
      <c r="W14" s="412">
        <f>'App 3-Recycling Rate'!S15</f>
        <v>0.59600679480549323</v>
      </c>
    </row>
    <row r="15" spans="1:23" x14ac:dyDescent="0.2">
      <c r="A15" s="376">
        <v>10800</v>
      </c>
      <c r="B15" s="376" t="s">
        <v>143</v>
      </c>
      <c r="C15" s="376" t="s">
        <v>142</v>
      </c>
      <c r="D15" s="404" t="s">
        <v>2</v>
      </c>
      <c r="E15" s="189"/>
      <c r="F15" s="193" t="s">
        <v>76</v>
      </c>
      <c r="G15" s="194" t="s">
        <v>74</v>
      </c>
      <c r="H15" s="425">
        <v>9.043853342918764</v>
      </c>
      <c r="I15" s="189"/>
      <c r="J15" s="190"/>
      <c r="K15" s="191"/>
      <c r="L15" s="428"/>
      <c r="M15" s="189"/>
      <c r="N15" s="192"/>
      <c r="O15" s="192"/>
      <c r="P15" s="429"/>
      <c r="Q15" s="564"/>
      <c r="R15" s="564"/>
      <c r="S15" s="567"/>
      <c r="T15" s="189"/>
      <c r="U15" s="260">
        <f t="shared" si="0"/>
        <v>9.043853342918764</v>
      </c>
      <c r="V15" s="570">
        <v>1</v>
      </c>
      <c r="W15" s="412">
        <f>'App 3-Recycling Rate'!S16</f>
        <v>0.13224071898608444</v>
      </c>
    </row>
    <row r="16" spans="1:23" x14ac:dyDescent="0.2">
      <c r="A16" s="376">
        <v>10850</v>
      </c>
      <c r="B16" s="376" t="s">
        <v>144</v>
      </c>
      <c r="C16" s="376" t="s">
        <v>293</v>
      </c>
      <c r="D16" s="404" t="s">
        <v>2</v>
      </c>
      <c r="E16" s="189"/>
      <c r="F16" s="193" t="s">
        <v>76</v>
      </c>
      <c r="G16" s="194" t="s">
        <v>74</v>
      </c>
      <c r="H16" s="425">
        <v>10.435812015331134</v>
      </c>
      <c r="I16" s="189"/>
      <c r="J16" s="190" t="s">
        <v>76</v>
      </c>
      <c r="K16" s="191" t="s">
        <v>312</v>
      </c>
      <c r="L16" s="428">
        <v>4.0798065480731092</v>
      </c>
      <c r="M16" s="189"/>
      <c r="N16" s="192"/>
      <c r="O16" s="192"/>
      <c r="P16" s="429"/>
      <c r="Q16" s="564"/>
      <c r="R16" s="564"/>
      <c r="S16" s="567"/>
      <c r="T16" s="189"/>
      <c r="U16" s="260">
        <f t="shared" si="0"/>
        <v>14.515618563404242</v>
      </c>
      <c r="V16" s="570">
        <v>2</v>
      </c>
      <c r="W16" s="412">
        <f>'App 3-Recycling Rate'!S17</f>
        <v>0.40757750779645907</v>
      </c>
    </row>
    <row r="17" spans="1:23" x14ac:dyDescent="0.2">
      <c r="A17" s="376">
        <v>10900</v>
      </c>
      <c r="B17" s="376" t="s">
        <v>145</v>
      </c>
      <c r="C17" s="376" t="s">
        <v>129</v>
      </c>
      <c r="D17" s="404" t="s">
        <v>5</v>
      </c>
      <c r="E17" s="189"/>
      <c r="F17" s="193" t="s">
        <v>73</v>
      </c>
      <c r="G17" s="194" t="s">
        <v>74</v>
      </c>
      <c r="H17" s="425">
        <v>9.8012254640343563</v>
      </c>
      <c r="I17" s="189"/>
      <c r="J17" s="190" t="s">
        <v>76</v>
      </c>
      <c r="K17" s="191" t="s">
        <v>312</v>
      </c>
      <c r="L17" s="428">
        <v>4.7595642389525361</v>
      </c>
      <c r="M17" s="189"/>
      <c r="N17" s="192" t="s">
        <v>76</v>
      </c>
      <c r="O17" s="192" t="s">
        <v>312</v>
      </c>
      <c r="P17" s="429">
        <v>5.2324503356514969</v>
      </c>
      <c r="Q17" s="564"/>
      <c r="R17" s="564"/>
      <c r="S17" s="567"/>
      <c r="T17" s="189"/>
      <c r="U17" s="260">
        <f t="shared" si="0"/>
        <v>19.793240038638388</v>
      </c>
      <c r="V17" s="570">
        <v>3</v>
      </c>
      <c r="W17" s="412">
        <f>'App 3-Recycling Rate'!S18</f>
        <v>0.54553310138979727</v>
      </c>
    </row>
    <row r="18" spans="1:23" x14ac:dyDescent="0.2">
      <c r="A18" s="376">
        <v>10950</v>
      </c>
      <c r="B18" s="376" t="s">
        <v>146</v>
      </c>
      <c r="C18" s="376" t="s">
        <v>293</v>
      </c>
      <c r="D18" s="404" t="s">
        <v>2</v>
      </c>
      <c r="E18" s="189"/>
      <c r="F18" s="193" t="s">
        <v>76</v>
      </c>
      <c r="G18" s="194" t="s">
        <v>74</v>
      </c>
      <c r="H18" s="425">
        <v>10.118482340704562</v>
      </c>
      <c r="I18" s="189"/>
      <c r="J18" s="190" t="s">
        <v>76</v>
      </c>
      <c r="K18" s="191" t="s">
        <v>312</v>
      </c>
      <c r="L18" s="428">
        <v>2.0236964681409124</v>
      </c>
      <c r="M18" s="189"/>
      <c r="N18" s="192"/>
      <c r="O18" s="192"/>
      <c r="P18" s="429"/>
      <c r="Q18" s="564"/>
      <c r="R18" s="564"/>
      <c r="S18" s="567"/>
      <c r="T18" s="189"/>
      <c r="U18" s="260">
        <f t="shared" si="0"/>
        <v>12.142178808845474</v>
      </c>
      <c r="V18" s="570">
        <v>2</v>
      </c>
      <c r="W18" s="412">
        <f>'App 3-Recycling Rate'!S19</f>
        <v>0.19272727272727272</v>
      </c>
    </row>
    <row r="19" spans="1:23" x14ac:dyDescent="0.2">
      <c r="A19" s="376">
        <v>11150</v>
      </c>
      <c r="B19" s="376" t="s">
        <v>150</v>
      </c>
      <c r="C19" s="376" t="s">
        <v>293</v>
      </c>
      <c r="D19" s="404" t="s">
        <v>2</v>
      </c>
      <c r="E19" s="189"/>
      <c r="F19" s="193" t="s">
        <v>76</v>
      </c>
      <c r="G19" s="194" t="s">
        <v>74</v>
      </c>
      <c r="H19" s="425">
        <v>9.6673988726790459</v>
      </c>
      <c r="I19" s="189"/>
      <c r="J19" s="190"/>
      <c r="K19" s="191"/>
      <c r="L19" s="428"/>
      <c r="M19" s="189"/>
      <c r="N19" s="192"/>
      <c r="O19" s="192"/>
      <c r="P19" s="429"/>
      <c r="Q19" s="564"/>
      <c r="R19" s="564"/>
      <c r="S19" s="567"/>
      <c r="T19" s="189"/>
      <c r="U19" s="260">
        <f t="shared" si="0"/>
        <v>9.6673988726790459</v>
      </c>
      <c r="V19" s="570">
        <v>1</v>
      </c>
      <c r="W19" s="412">
        <f>'App 3-Recycling Rate'!S20</f>
        <v>0</v>
      </c>
    </row>
    <row r="20" spans="1:23" x14ac:dyDescent="0.2">
      <c r="A20" s="376">
        <v>11200</v>
      </c>
      <c r="B20" s="376" t="s">
        <v>151</v>
      </c>
      <c r="C20" s="376" t="s">
        <v>293</v>
      </c>
      <c r="D20" s="404" t="s">
        <v>2</v>
      </c>
      <c r="E20" s="189"/>
      <c r="F20" s="193" t="s">
        <v>76</v>
      </c>
      <c r="G20" s="194" t="s">
        <v>74</v>
      </c>
      <c r="H20" s="425">
        <v>11.812511812511813</v>
      </c>
      <c r="I20" s="189"/>
      <c r="J20" s="190"/>
      <c r="K20" s="191"/>
      <c r="L20" s="428"/>
      <c r="M20" s="189"/>
      <c r="N20" s="192"/>
      <c r="O20" s="192"/>
      <c r="P20" s="429"/>
      <c r="Q20" s="564"/>
      <c r="R20" s="564"/>
      <c r="S20" s="567"/>
      <c r="T20" s="189"/>
      <c r="U20" s="260">
        <f t="shared" si="0"/>
        <v>11.812511812511813</v>
      </c>
      <c r="V20" s="570">
        <v>1</v>
      </c>
      <c r="W20" s="412">
        <f>'App 3-Recycling Rate'!S21</f>
        <v>9.4454072790294621E-2</v>
      </c>
    </row>
    <row r="21" spans="1:23" x14ac:dyDescent="0.2">
      <c r="A21" s="376">
        <v>11250</v>
      </c>
      <c r="B21" s="376" t="s">
        <v>152</v>
      </c>
      <c r="C21" s="376" t="s">
        <v>293</v>
      </c>
      <c r="D21" s="404" t="s">
        <v>2</v>
      </c>
      <c r="E21" s="189"/>
      <c r="F21" s="193" t="s">
        <v>76</v>
      </c>
      <c r="G21" s="194" t="s">
        <v>74</v>
      </c>
      <c r="H21" s="425">
        <v>13.17564640744737</v>
      </c>
      <c r="I21" s="189"/>
      <c r="J21" s="190"/>
      <c r="K21" s="191"/>
      <c r="L21" s="428"/>
      <c r="M21" s="189"/>
      <c r="N21" s="192"/>
      <c r="O21" s="192"/>
      <c r="P21" s="429"/>
      <c r="Q21" s="564" t="s">
        <v>76</v>
      </c>
      <c r="R21" s="564" t="s">
        <v>312</v>
      </c>
      <c r="S21" s="567">
        <v>2.0976744186046514</v>
      </c>
      <c r="T21" s="189"/>
      <c r="U21" s="260">
        <f t="shared" si="0"/>
        <v>15.273320826052021</v>
      </c>
      <c r="V21" s="570">
        <v>2</v>
      </c>
      <c r="W21" s="412">
        <f>'App 3-Recycling Rate'!S22</f>
        <v>0.30057017575726747</v>
      </c>
    </row>
    <row r="22" spans="1:23" x14ac:dyDescent="0.2">
      <c r="A22" s="376">
        <v>11300</v>
      </c>
      <c r="B22" s="376" t="s">
        <v>153</v>
      </c>
      <c r="C22" s="376" t="s">
        <v>127</v>
      </c>
      <c r="D22" s="404" t="s">
        <v>4</v>
      </c>
      <c r="E22" s="189"/>
      <c r="F22" s="193" t="s">
        <v>75</v>
      </c>
      <c r="G22" s="194" t="s">
        <v>74</v>
      </c>
      <c r="H22" s="425">
        <v>10.328102016094142</v>
      </c>
      <c r="I22" s="189"/>
      <c r="J22" s="190" t="s">
        <v>76</v>
      </c>
      <c r="K22" s="191" t="s">
        <v>312</v>
      </c>
      <c r="L22" s="428">
        <v>3.4720840183438608</v>
      </c>
      <c r="M22" s="189"/>
      <c r="N22" s="192" t="s">
        <v>76</v>
      </c>
      <c r="O22" s="192" t="s">
        <v>312</v>
      </c>
      <c r="P22" s="429">
        <v>2.968357921605953</v>
      </c>
      <c r="Q22" s="564"/>
      <c r="R22" s="564"/>
      <c r="S22" s="567"/>
      <c r="T22" s="189"/>
      <c r="U22" s="260">
        <f t="shared" si="0"/>
        <v>16.768543956043956</v>
      </c>
      <c r="V22" s="570">
        <v>3</v>
      </c>
      <c r="W22" s="412">
        <f>'App 3-Recycling Rate'!S23</f>
        <v>0.34080029849659638</v>
      </c>
    </row>
    <row r="23" spans="1:23" x14ac:dyDescent="0.2">
      <c r="A23" s="376">
        <v>11350</v>
      </c>
      <c r="B23" s="376" t="s">
        <v>154</v>
      </c>
      <c r="C23" s="376" t="s">
        <v>131</v>
      </c>
      <c r="D23" s="404" t="s">
        <v>5</v>
      </c>
      <c r="E23" s="189"/>
      <c r="F23" s="193" t="s">
        <v>73</v>
      </c>
      <c r="G23" s="194" t="s">
        <v>312</v>
      </c>
      <c r="H23" s="425">
        <v>7.7610783789624538</v>
      </c>
      <c r="I23" s="189"/>
      <c r="J23" s="190" t="s">
        <v>76</v>
      </c>
      <c r="K23" s="191" t="s">
        <v>312</v>
      </c>
      <c r="L23" s="428">
        <v>7.5622666237339065</v>
      </c>
      <c r="M23" s="189"/>
      <c r="N23" s="192"/>
      <c r="O23" s="192"/>
      <c r="P23" s="429"/>
      <c r="Q23" s="564" t="s">
        <v>76</v>
      </c>
      <c r="R23" s="564" t="s">
        <v>74</v>
      </c>
      <c r="S23" s="567">
        <v>8.2860960224285964</v>
      </c>
      <c r="T23" s="189"/>
      <c r="U23" s="260">
        <f t="shared" si="0"/>
        <v>23.609441025124958</v>
      </c>
      <c r="V23" s="570">
        <v>4</v>
      </c>
      <c r="W23" s="412">
        <f>'App 3-Recycling Rate'!S24</f>
        <v>0.5967021996232954</v>
      </c>
    </row>
    <row r="24" spans="1:23" x14ac:dyDescent="0.2">
      <c r="A24" s="376">
        <v>11400</v>
      </c>
      <c r="B24" s="376" t="s">
        <v>155</v>
      </c>
      <c r="C24" s="376" t="s">
        <v>293</v>
      </c>
      <c r="D24" s="404" t="s">
        <v>2</v>
      </c>
      <c r="E24" s="189"/>
      <c r="F24" s="193" t="s">
        <v>76</v>
      </c>
      <c r="G24" s="194" t="s">
        <v>74</v>
      </c>
      <c r="H24" s="425">
        <v>10.771057155135367</v>
      </c>
      <c r="I24" s="189"/>
      <c r="J24" s="190" t="s">
        <v>76</v>
      </c>
      <c r="K24" s="191" t="s">
        <v>312</v>
      </c>
      <c r="L24" s="428">
        <v>3.6469703480876663</v>
      </c>
      <c r="M24" s="189"/>
      <c r="N24" s="192"/>
      <c r="O24" s="192"/>
      <c r="P24" s="429"/>
      <c r="Q24" s="564"/>
      <c r="R24" s="564"/>
      <c r="S24" s="567"/>
      <c r="T24" s="189"/>
      <c r="U24" s="260">
        <f t="shared" si="0"/>
        <v>14.418027503223033</v>
      </c>
      <c r="V24" s="570">
        <v>2</v>
      </c>
      <c r="W24" s="412">
        <f>'App 3-Recycling Rate'!S25</f>
        <v>0.24045845628323778</v>
      </c>
    </row>
    <row r="25" spans="1:23" x14ac:dyDescent="0.2">
      <c r="A25" s="376">
        <v>11450</v>
      </c>
      <c r="B25" s="376" t="s">
        <v>157</v>
      </c>
      <c r="C25" s="376" t="s">
        <v>156</v>
      </c>
      <c r="D25" s="404" t="s">
        <v>4</v>
      </c>
      <c r="E25" s="189"/>
      <c r="F25" s="193" t="s">
        <v>76</v>
      </c>
      <c r="G25" s="194" t="s">
        <v>74</v>
      </c>
      <c r="H25" s="425">
        <v>11.74337124546639</v>
      </c>
      <c r="I25" s="189"/>
      <c r="J25" s="190" t="s">
        <v>76</v>
      </c>
      <c r="K25" s="191" t="s">
        <v>74</v>
      </c>
      <c r="L25" s="428">
        <v>6.3705429750165541</v>
      </c>
      <c r="M25" s="189"/>
      <c r="N25" s="192" t="s">
        <v>76</v>
      </c>
      <c r="O25" s="192" t="s">
        <v>74</v>
      </c>
      <c r="P25" s="429">
        <v>6.9939059081961421</v>
      </c>
      <c r="Q25" s="564"/>
      <c r="R25" s="564"/>
      <c r="S25" s="567"/>
      <c r="T25" s="189"/>
      <c r="U25" s="260">
        <f t="shared" si="0"/>
        <v>25.107820128679087</v>
      </c>
      <c r="V25" s="570">
        <v>3</v>
      </c>
      <c r="W25" s="412">
        <f>'App 3-Recycling Rate'!S26</f>
        <v>0.45720817557636645</v>
      </c>
    </row>
    <row r="26" spans="1:23" x14ac:dyDescent="0.2">
      <c r="A26" s="376">
        <v>11500</v>
      </c>
      <c r="B26" s="376" t="s">
        <v>158</v>
      </c>
      <c r="C26" s="376" t="s">
        <v>156</v>
      </c>
      <c r="D26" s="404" t="s">
        <v>4</v>
      </c>
      <c r="E26" s="189"/>
      <c r="F26" s="193" t="s">
        <v>73</v>
      </c>
      <c r="G26" s="194" t="s">
        <v>74</v>
      </c>
      <c r="H26" s="425">
        <v>11.856055854883286</v>
      </c>
      <c r="I26" s="189"/>
      <c r="J26" s="190" t="s">
        <v>76</v>
      </c>
      <c r="K26" s="191" t="s">
        <v>312</v>
      </c>
      <c r="L26" s="428">
        <v>4.9682687551176583</v>
      </c>
      <c r="M26" s="189"/>
      <c r="N26" s="192" t="s">
        <v>76</v>
      </c>
      <c r="O26" s="192" t="s">
        <v>312</v>
      </c>
      <c r="P26" s="429">
        <v>5.8848700031120043</v>
      </c>
      <c r="Q26" s="564"/>
      <c r="R26" s="564"/>
      <c r="S26" s="567"/>
      <c r="T26" s="189"/>
      <c r="U26" s="260">
        <f t="shared" si="0"/>
        <v>22.709194613112949</v>
      </c>
      <c r="V26" s="570">
        <v>3</v>
      </c>
      <c r="W26" s="412">
        <f>'App 3-Recycling Rate'!S27</f>
        <v>0.40012885695477401</v>
      </c>
    </row>
    <row r="27" spans="1:23" x14ac:dyDescent="0.2">
      <c r="A27" s="376">
        <v>11520</v>
      </c>
      <c r="B27" s="376" t="s">
        <v>159</v>
      </c>
      <c r="C27" s="376" t="s">
        <v>127</v>
      </c>
      <c r="D27" s="404" t="s">
        <v>4</v>
      </c>
      <c r="E27" s="189"/>
      <c r="F27" s="193" t="s">
        <v>75</v>
      </c>
      <c r="G27" s="194" t="s">
        <v>74</v>
      </c>
      <c r="H27" s="425">
        <v>13.565092720437358</v>
      </c>
      <c r="I27" s="189"/>
      <c r="J27" s="190" t="s">
        <v>76</v>
      </c>
      <c r="K27" s="191" t="s">
        <v>312</v>
      </c>
      <c r="L27" s="428">
        <v>5.7208155183543727</v>
      </c>
      <c r="M27" s="189"/>
      <c r="N27" s="192" t="s">
        <v>76</v>
      </c>
      <c r="O27" s="192" t="s">
        <v>312</v>
      </c>
      <c r="P27" s="429">
        <v>4.9469223056219729</v>
      </c>
      <c r="Q27" s="564"/>
      <c r="R27" s="564"/>
      <c r="S27" s="567"/>
      <c r="T27" s="189"/>
      <c r="U27" s="260">
        <f t="shared" si="0"/>
        <v>24.232830544413702</v>
      </c>
      <c r="V27" s="570">
        <v>3</v>
      </c>
      <c r="W27" s="412">
        <f>'App 3-Recycling Rate'!S28</f>
        <v>0.38554479203565839</v>
      </c>
    </row>
    <row r="28" spans="1:23" x14ac:dyDescent="0.2">
      <c r="A28" s="376">
        <v>11570</v>
      </c>
      <c r="B28" s="376" t="s">
        <v>134</v>
      </c>
      <c r="C28" s="376" t="s">
        <v>127</v>
      </c>
      <c r="D28" s="404" t="s">
        <v>4</v>
      </c>
      <c r="E28" s="189"/>
      <c r="F28" s="193" t="s">
        <v>75</v>
      </c>
      <c r="G28" s="194" t="s">
        <v>74</v>
      </c>
      <c r="H28" s="425">
        <v>15.740708658689085</v>
      </c>
      <c r="I28" s="189"/>
      <c r="J28" s="190" t="s">
        <v>76</v>
      </c>
      <c r="K28" s="191" t="s">
        <v>312</v>
      </c>
      <c r="L28" s="428">
        <v>5.2702151772699137</v>
      </c>
      <c r="M28" s="189"/>
      <c r="N28" s="192" t="s">
        <v>76</v>
      </c>
      <c r="O28" s="192" t="s">
        <v>312</v>
      </c>
      <c r="P28" s="429">
        <v>6.8279061713073528</v>
      </c>
      <c r="Q28" s="564"/>
      <c r="R28" s="564"/>
      <c r="S28" s="567"/>
      <c r="T28" s="189"/>
      <c r="U28" s="260">
        <f t="shared" si="0"/>
        <v>27.838830007266353</v>
      </c>
      <c r="V28" s="570">
        <v>3</v>
      </c>
      <c r="W28" s="412">
        <f>'App 3-Recycling Rate'!S29</f>
        <v>0.36806206088397386</v>
      </c>
    </row>
    <row r="29" spans="1:23" x14ac:dyDescent="0.2">
      <c r="A29" s="376">
        <v>11600</v>
      </c>
      <c r="B29" s="376" t="s">
        <v>161</v>
      </c>
      <c r="C29" s="376" t="s">
        <v>705</v>
      </c>
      <c r="D29" s="404" t="s">
        <v>2</v>
      </c>
      <c r="E29" s="189"/>
      <c r="F29" s="193" t="s">
        <v>76</v>
      </c>
      <c r="G29" s="194" t="s">
        <v>74</v>
      </c>
      <c r="H29" s="425">
        <v>31.476180069930074</v>
      </c>
      <c r="I29" s="189"/>
      <c r="J29" s="190"/>
      <c r="K29" s="191"/>
      <c r="L29" s="428"/>
      <c r="M29" s="189"/>
      <c r="N29" s="192"/>
      <c r="O29" s="192"/>
      <c r="P29" s="429"/>
      <c r="Q29" s="564"/>
      <c r="R29" s="564"/>
      <c r="S29" s="567"/>
      <c r="T29" s="189"/>
      <c r="U29" s="260">
        <f t="shared" si="0"/>
        <v>31.476180069930074</v>
      </c>
      <c r="V29" s="570">
        <v>1</v>
      </c>
      <c r="W29" s="412">
        <f>'App 3-Recycling Rate'!S30</f>
        <v>0</v>
      </c>
    </row>
    <row r="30" spans="1:23" x14ac:dyDescent="0.2">
      <c r="A30" s="376">
        <v>11650</v>
      </c>
      <c r="B30" s="376" t="s">
        <v>181</v>
      </c>
      <c r="C30" s="376" t="s">
        <v>163</v>
      </c>
      <c r="D30" s="404" t="s">
        <v>3</v>
      </c>
      <c r="E30" s="189"/>
      <c r="F30" s="193" t="s">
        <v>73</v>
      </c>
      <c r="G30" s="194" t="s">
        <v>74</v>
      </c>
      <c r="H30" s="425">
        <v>11.100468588581792</v>
      </c>
      <c r="I30" s="189"/>
      <c r="J30" s="190" t="s">
        <v>76</v>
      </c>
      <c r="K30" s="191" t="s">
        <v>312</v>
      </c>
      <c r="L30" s="428">
        <v>5.3260637434295246</v>
      </c>
      <c r="M30" s="189"/>
      <c r="N30" s="192" t="s">
        <v>76</v>
      </c>
      <c r="O30" s="192" t="s">
        <v>312</v>
      </c>
      <c r="P30" s="429">
        <v>5.9321453689930106</v>
      </c>
      <c r="Q30" s="564"/>
      <c r="R30" s="564"/>
      <c r="S30" s="567"/>
      <c r="T30" s="189"/>
      <c r="U30" s="260">
        <f t="shared" si="0"/>
        <v>22.358677701004325</v>
      </c>
      <c r="V30" s="570">
        <v>3</v>
      </c>
      <c r="W30" s="412">
        <f>'App 3-Recycling Rate'!S31</f>
        <v>0.43169059935097226</v>
      </c>
    </row>
    <row r="31" spans="1:23" x14ac:dyDescent="0.2">
      <c r="A31" s="376">
        <v>11700</v>
      </c>
      <c r="B31" s="376" t="s">
        <v>162</v>
      </c>
      <c r="C31" s="376" t="s">
        <v>293</v>
      </c>
      <c r="D31" s="404" t="s">
        <v>2</v>
      </c>
      <c r="E31" s="189"/>
      <c r="F31" s="193" t="s">
        <v>76</v>
      </c>
      <c r="G31" s="194" t="s">
        <v>74</v>
      </c>
      <c r="H31" s="425">
        <v>12.838343853642879</v>
      </c>
      <c r="I31" s="189"/>
      <c r="J31" s="190"/>
      <c r="K31" s="191"/>
      <c r="L31" s="428"/>
      <c r="M31" s="189"/>
      <c r="N31" s="192"/>
      <c r="O31" s="192"/>
      <c r="P31" s="429"/>
      <c r="Q31" s="564"/>
      <c r="R31" s="564"/>
      <c r="S31" s="567"/>
      <c r="T31" s="189"/>
      <c r="U31" s="260">
        <f t="shared" si="0"/>
        <v>12.838343853642879</v>
      </c>
      <c r="V31" s="570">
        <v>1</v>
      </c>
      <c r="W31" s="412">
        <f>'App 3-Recycling Rate'!S32</f>
        <v>0</v>
      </c>
    </row>
    <row r="32" spans="1:23" x14ac:dyDescent="0.2">
      <c r="A32" s="376">
        <v>11720</v>
      </c>
      <c r="B32" s="376" t="s">
        <v>164</v>
      </c>
      <c r="C32" s="376" t="s">
        <v>163</v>
      </c>
      <c r="D32" s="404" t="s">
        <v>3</v>
      </c>
      <c r="E32" s="189"/>
      <c r="F32" s="193" t="s">
        <v>76</v>
      </c>
      <c r="G32" s="194" t="s">
        <v>74</v>
      </c>
      <c r="H32" s="425">
        <v>15.012255878836189</v>
      </c>
      <c r="I32" s="189"/>
      <c r="J32" s="190" t="s">
        <v>76</v>
      </c>
      <c r="K32" s="191" t="s">
        <v>312</v>
      </c>
      <c r="L32" s="428">
        <v>4.5967064024058839</v>
      </c>
      <c r="M32" s="189"/>
      <c r="N32" s="192" t="s">
        <v>76</v>
      </c>
      <c r="O32" s="192" t="s">
        <v>312</v>
      </c>
      <c r="P32" s="429">
        <v>1.541505126997355</v>
      </c>
      <c r="Q32" s="564"/>
      <c r="R32" s="564"/>
      <c r="S32" s="567"/>
      <c r="T32" s="189"/>
      <c r="U32" s="260">
        <f t="shared" si="0"/>
        <v>21.150467408239425</v>
      </c>
      <c r="V32" s="570">
        <v>3</v>
      </c>
      <c r="W32" s="412">
        <f>'App 3-Recycling Rate'!S33</f>
        <v>0.28182379599892721</v>
      </c>
    </row>
    <row r="33" spans="1:23" x14ac:dyDescent="0.2">
      <c r="A33" s="376">
        <v>11730</v>
      </c>
      <c r="B33" s="376" t="s">
        <v>165</v>
      </c>
      <c r="C33" s="376" t="s">
        <v>131</v>
      </c>
      <c r="D33" s="404" t="s">
        <v>5</v>
      </c>
      <c r="E33" s="189"/>
      <c r="F33" s="193" t="s">
        <v>76</v>
      </c>
      <c r="G33" s="194" t="s">
        <v>312</v>
      </c>
      <c r="H33" s="425">
        <v>6.6967774200606378</v>
      </c>
      <c r="I33" s="189"/>
      <c r="J33" s="190" t="s">
        <v>81</v>
      </c>
      <c r="K33" s="191" t="s">
        <v>74</v>
      </c>
      <c r="L33" s="428">
        <v>6.0445774537608958</v>
      </c>
      <c r="M33" s="189"/>
      <c r="N33" s="192"/>
      <c r="O33" s="192"/>
      <c r="P33" s="429"/>
      <c r="Q33" s="564" t="s">
        <v>76</v>
      </c>
      <c r="R33" s="564" t="s">
        <v>74</v>
      </c>
      <c r="S33" s="567">
        <v>7.9888428900264534</v>
      </c>
      <c r="T33" s="189"/>
      <c r="U33" s="260">
        <f t="shared" si="0"/>
        <v>20.730197763847986</v>
      </c>
      <c r="V33" s="570">
        <v>4</v>
      </c>
      <c r="W33" s="412">
        <f>'App 3-Recycling Rate'!S34</f>
        <v>0.63196247068021894</v>
      </c>
    </row>
    <row r="34" spans="1:23" x14ac:dyDescent="0.2">
      <c r="A34" s="376">
        <v>11750</v>
      </c>
      <c r="B34" s="376" t="s">
        <v>166</v>
      </c>
      <c r="C34" s="376" t="s">
        <v>293</v>
      </c>
      <c r="D34" s="404" t="s">
        <v>2</v>
      </c>
      <c r="E34" s="189"/>
      <c r="F34" s="193" t="s">
        <v>76</v>
      </c>
      <c r="G34" s="194" t="s">
        <v>74</v>
      </c>
      <c r="H34" s="425">
        <v>11.31740044521395</v>
      </c>
      <c r="I34" s="189"/>
      <c r="J34" s="190"/>
      <c r="K34" s="191"/>
      <c r="L34" s="428"/>
      <c r="M34" s="189"/>
      <c r="N34" s="192"/>
      <c r="O34" s="192"/>
      <c r="P34" s="429"/>
      <c r="Q34" s="564"/>
      <c r="R34" s="564"/>
      <c r="S34" s="567"/>
      <c r="T34" s="189"/>
      <c r="U34" s="260">
        <f t="shared" si="0"/>
        <v>11.31740044521395</v>
      </c>
      <c r="V34" s="570">
        <v>1</v>
      </c>
      <c r="W34" s="412">
        <f>'App 3-Recycling Rate'!S35</f>
        <v>0</v>
      </c>
    </row>
    <row r="35" spans="1:23" x14ac:dyDescent="0.2">
      <c r="A35" s="376">
        <v>11800</v>
      </c>
      <c r="B35" s="376" t="s">
        <v>167</v>
      </c>
      <c r="C35" s="376" t="s">
        <v>294</v>
      </c>
      <c r="D35" s="404" t="s">
        <v>5</v>
      </c>
      <c r="E35" s="189"/>
      <c r="F35" s="193" t="s">
        <v>76</v>
      </c>
      <c r="G35" s="194" t="s">
        <v>312</v>
      </c>
      <c r="H35" s="425">
        <v>7.9492639364878226</v>
      </c>
      <c r="I35" s="189"/>
      <c r="J35" s="190" t="s">
        <v>76</v>
      </c>
      <c r="K35" s="191" t="s">
        <v>312</v>
      </c>
      <c r="L35" s="428">
        <v>6.1842116423657938</v>
      </c>
      <c r="M35" s="189"/>
      <c r="N35" s="192"/>
      <c r="O35" s="192"/>
      <c r="P35" s="429"/>
      <c r="Q35" s="564" t="s">
        <v>76</v>
      </c>
      <c r="R35" s="564" t="s">
        <v>74</v>
      </c>
      <c r="S35" s="567">
        <v>6.8749385531392448</v>
      </c>
      <c r="T35" s="189"/>
      <c r="U35" s="260">
        <f t="shared" si="0"/>
        <v>21.008414131992861</v>
      </c>
      <c r="V35" s="570">
        <v>4</v>
      </c>
      <c r="W35" s="412">
        <f>'App 3-Recycling Rate'!S36</f>
        <v>0.51035263598334457</v>
      </c>
    </row>
    <row r="36" spans="1:23" x14ac:dyDescent="0.2">
      <c r="A36" s="376">
        <v>12000</v>
      </c>
      <c r="B36" s="376" t="s">
        <v>169</v>
      </c>
      <c r="C36" s="376" t="s">
        <v>142</v>
      </c>
      <c r="D36" s="404" t="s">
        <v>2</v>
      </c>
      <c r="E36" s="189"/>
      <c r="F36" s="193" t="s">
        <v>73</v>
      </c>
      <c r="G36" s="194" t="s">
        <v>74</v>
      </c>
      <c r="H36" s="425">
        <v>8.3399338396309926</v>
      </c>
      <c r="I36" s="189"/>
      <c r="J36" s="190" t="s">
        <v>76</v>
      </c>
      <c r="K36" s="191" t="s">
        <v>312</v>
      </c>
      <c r="L36" s="428">
        <v>3.7674662597167248</v>
      </c>
      <c r="M36" s="189"/>
      <c r="N36" s="192"/>
      <c r="O36" s="192"/>
      <c r="P36" s="429"/>
      <c r="Q36" s="564" t="s">
        <v>76</v>
      </c>
      <c r="R36" s="564" t="s">
        <v>312</v>
      </c>
      <c r="S36" s="567">
        <v>5.2959089103667418</v>
      </c>
      <c r="T36" s="189"/>
      <c r="U36" s="260">
        <f t="shared" si="0"/>
        <v>17.403309009714459</v>
      </c>
      <c r="V36" s="570">
        <v>4</v>
      </c>
      <c r="W36" s="412">
        <f>'App 3-Recycling Rate'!S37</f>
        <v>0.50126538987688096</v>
      </c>
    </row>
    <row r="37" spans="1:23" x14ac:dyDescent="0.2">
      <c r="A37" s="376">
        <v>12150</v>
      </c>
      <c r="B37" s="376" t="s">
        <v>170</v>
      </c>
      <c r="C37" s="376" t="s">
        <v>293</v>
      </c>
      <c r="D37" s="404" t="s">
        <v>2</v>
      </c>
      <c r="E37" s="189"/>
      <c r="F37" s="193" t="s">
        <v>76</v>
      </c>
      <c r="G37" s="194" t="s">
        <v>74</v>
      </c>
      <c r="H37" s="425">
        <v>30.129951792077129</v>
      </c>
      <c r="I37" s="189"/>
      <c r="J37" s="190"/>
      <c r="K37" s="191"/>
      <c r="L37" s="428"/>
      <c r="M37" s="189"/>
      <c r="N37" s="192"/>
      <c r="O37" s="192"/>
      <c r="P37" s="429"/>
      <c r="Q37" s="564"/>
      <c r="R37" s="564"/>
      <c r="S37" s="567"/>
      <c r="T37" s="189"/>
      <c r="U37" s="260">
        <f t="shared" ref="U37:U68" si="1">H37+L37+P37+S37</f>
        <v>30.129951792077129</v>
      </c>
      <c r="V37" s="570">
        <v>1</v>
      </c>
      <c r="W37" s="412">
        <f>'App 3-Recycling Rate'!S38</f>
        <v>0</v>
      </c>
    </row>
    <row r="38" spans="1:23" x14ac:dyDescent="0.2">
      <c r="A38" s="376">
        <v>12350</v>
      </c>
      <c r="B38" s="376" t="s">
        <v>172</v>
      </c>
      <c r="C38" s="376" t="s">
        <v>293</v>
      </c>
      <c r="D38" s="404" t="s">
        <v>2</v>
      </c>
      <c r="E38" s="189"/>
      <c r="F38" s="193" t="s">
        <v>76</v>
      </c>
      <c r="G38" s="194" t="s">
        <v>74</v>
      </c>
      <c r="H38" s="425">
        <v>13.320958547399536</v>
      </c>
      <c r="I38" s="189"/>
      <c r="J38" s="190" t="s">
        <v>76</v>
      </c>
      <c r="K38" s="191" t="s">
        <v>312</v>
      </c>
      <c r="L38" s="428">
        <v>4.4709049773755662</v>
      </c>
      <c r="M38" s="189"/>
      <c r="N38" s="192"/>
      <c r="O38" s="192"/>
      <c r="P38" s="429"/>
      <c r="Q38" s="564"/>
      <c r="R38" s="564"/>
      <c r="S38" s="567"/>
      <c r="T38" s="189"/>
      <c r="U38" s="260">
        <f t="shared" si="1"/>
        <v>17.791863524775103</v>
      </c>
      <c r="V38" s="570">
        <v>2</v>
      </c>
      <c r="W38" s="412">
        <f>'App 3-Recycling Rate'!S39</f>
        <v>0.24194655896750566</v>
      </c>
    </row>
    <row r="39" spans="1:23" x14ac:dyDescent="0.2">
      <c r="A39" s="376">
        <v>12380</v>
      </c>
      <c r="B39" s="376" t="s">
        <v>130</v>
      </c>
      <c r="C39" s="376" t="s">
        <v>129</v>
      </c>
      <c r="D39" s="404" t="s">
        <v>4</v>
      </c>
      <c r="E39" s="189"/>
      <c r="F39" s="193" t="s">
        <v>76</v>
      </c>
      <c r="G39" s="194" t="s">
        <v>74</v>
      </c>
      <c r="H39" s="425">
        <v>16.099348325165543</v>
      </c>
      <c r="I39" s="189"/>
      <c r="J39" s="190" t="s">
        <v>76</v>
      </c>
      <c r="K39" s="191" t="s">
        <v>312</v>
      </c>
      <c r="L39" s="428">
        <v>3.3322798330787373</v>
      </c>
      <c r="M39" s="189"/>
      <c r="N39" s="192" t="s">
        <v>76</v>
      </c>
      <c r="O39" s="192" t="s">
        <v>312</v>
      </c>
      <c r="P39" s="429">
        <v>2.8670740347148422</v>
      </c>
      <c r="Q39" s="564"/>
      <c r="R39" s="564"/>
      <c r="S39" s="567"/>
      <c r="T39" s="189"/>
      <c r="U39" s="260">
        <f t="shared" si="1"/>
        <v>22.298702192959123</v>
      </c>
      <c r="V39" s="570">
        <v>3</v>
      </c>
      <c r="W39" s="412">
        <f>'App 3-Recycling Rate'!S40</f>
        <v>0.50479027522942665</v>
      </c>
    </row>
    <row r="40" spans="1:23" x14ac:dyDescent="0.2">
      <c r="A40" s="376">
        <v>12700</v>
      </c>
      <c r="B40" s="376" t="s">
        <v>174</v>
      </c>
      <c r="C40" s="376" t="s">
        <v>163</v>
      </c>
      <c r="D40" s="404" t="s">
        <v>5</v>
      </c>
      <c r="E40" s="189"/>
      <c r="F40" s="193" t="s">
        <v>76</v>
      </c>
      <c r="G40" s="194" t="s">
        <v>74</v>
      </c>
      <c r="H40" s="425">
        <v>11.345014646848217</v>
      </c>
      <c r="I40" s="189"/>
      <c r="J40" s="190" t="s">
        <v>76</v>
      </c>
      <c r="K40" s="191" t="s">
        <v>312</v>
      </c>
      <c r="L40" s="428">
        <v>4.6053896401808929</v>
      </c>
      <c r="M40" s="189"/>
      <c r="N40" s="192"/>
      <c r="O40" s="192"/>
      <c r="P40" s="429"/>
      <c r="Q40" s="564"/>
      <c r="R40" s="564"/>
      <c r="S40" s="567"/>
      <c r="T40" s="189"/>
      <c r="U40" s="260">
        <f t="shared" si="1"/>
        <v>15.950404287029109</v>
      </c>
      <c r="V40" s="570">
        <v>2</v>
      </c>
      <c r="W40" s="412">
        <f>'App 3-Recycling Rate'!S41</f>
        <v>0.40029689988397249</v>
      </c>
    </row>
    <row r="41" spans="1:23" x14ac:dyDescent="0.2">
      <c r="A41" s="376">
        <v>12730</v>
      </c>
      <c r="B41" s="376" t="s">
        <v>168</v>
      </c>
      <c r="C41" s="376" t="s">
        <v>703</v>
      </c>
      <c r="D41" s="404" t="s">
        <v>2</v>
      </c>
      <c r="E41" s="189"/>
      <c r="F41" s="193" t="s">
        <v>76</v>
      </c>
      <c r="G41" s="194" t="s">
        <v>74</v>
      </c>
      <c r="H41" s="425">
        <v>15.333093347132539</v>
      </c>
      <c r="I41" s="189"/>
      <c r="J41" s="190"/>
      <c r="K41" s="191"/>
      <c r="L41" s="428"/>
      <c r="M41" s="189"/>
      <c r="N41" s="192"/>
      <c r="O41" s="192"/>
      <c r="P41" s="429"/>
      <c r="Q41" s="564"/>
      <c r="R41" s="564"/>
      <c r="S41" s="567"/>
      <c r="T41" s="189"/>
      <c r="U41" s="260">
        <f t="shared" si="1"/>
        <v>15.333093347132539</v>
      </c>
      <c r="V41" s="570">
        <v>1</v>
      </c>
      <c r="W41" s="412">
        <f>'App 3-Recycling Rate'!S42</f>
        <v>0.23775947059789262</v>
      </c>
    </row>
    <row r="42" spans="1:23" x14ac:dyDescent="0.2">
      <c r="A42" s="376">
        <v>12750</v>
      </c>
      <c r="B42" s="376" t="s">
        <v>175</v>
      </c>
      <c r="C42" s="376" t="s">
        <v>704</v>
      </c>
      <c r="D42" s="404" t="s">
        <v>2</v>
      </c>
      <c r="E42" s="189"/>
      <c r="F42" s="193" t="s">
        <v>77</v>
      </c>
      <c r="G42" s="194" t="s">
        <v>74</v>
      </c>
      <c r="H42" s="425">
        <v>5.6678985350314024</v>
      </c>
      <c r="I42" s="189"/>
      <c r="J42" s="190" t="s">
        <v>76</v>
      </c>
      <c r="K42" s="191" t="s">
        <v>312</v>
      </c>
      <c r="L42" s="428">
        <v>4.1140538023725304</v>
      </c>
      <c r="M42" s="189"/>
      <c r="N42" s="192" t="s">
        <v>76</v>
      </c>
      <c r="O42" s="192" t="s">
        <v>312</v>
      </c>
      <c r="P42" s="429">
        <v>4.0412030129253784</v>
      </c>
      <c r="Q42" s="564"/>
      <c r="R42" s="564"/>
      <c r="S42" s="567"/>
      <c r="T42" s="189"/>
      <c r="U42" s="260">
        <f t="shared" si="1"/>
        <v>13.823155350329312</v>
      </c>
      <c r="V42" s="570">
        <v>3</v>
      </c>
      <c r="W42" s="412">
        <f>'App 3-Recycling Rate'!S43</f>
        <v>0.59705694818088517</v>
      </c>
    </row>
    <row r="43" spans="1:23" x14ac:dyDescent="0.2">
      <c r="A43" s="376">
        <v>12850</v>
      </c>
      <c r="B43" s="376" t="s">
        <v>176</v>
      </c>
      <c r="C43" s="376" t="s">
        <v>129</v>
      </c>
      <c r="D43" s="404" t="s">
        <v>4</v>
      </c>
      <c r="E43" s="189"/>
      <c r="F43" s="193" t="s">
        <v>76</v>
      </c>
      <c r="G43" s="194" t="s">
        <v>74</v>
      </c>
      <c r="H43" s="425">
        <v>22.762125940246701</v>
      </c>
      <c r="I43" s="189"/>
      <c r="J43" s="190" t="s">
        <v>76</v>
      </c>
      <c r="K43" s="191" t="s">
        <v>312</v>
      </c>
      <c r="L43" s="428">
        <v>3.6293779987127479</v>
      </c>
      <c r="M43" s="189"/>
      <c r="N43" s="192"/>
      <c r="O43" s="192"/>
      <c r="P43" s="429"/>
      <c r="Q43" s="564"/>
      <c r="R43" s="564"/>
      <c r="S43" s="567"/>
      <c r="T43" s="189"/>
      <c r="U43" s="260">
        <f t="shared" si="1"/>
        <v>26.391503938959449</v>
      </c>
      <c r="V43" s="570">
        <v>2</v>
      </c>
      <c r="W43" s="412">
        <f>'App 3-Recycling Rate'!S44</f>
        <v>0.52286709480908111</v>
      </c>
    </row>
    <row r="44" spans="1:23" x14ac:dyDescent="0.2">
      <c r="A44" s="376">
        <v>12870</v>
      </c>
      <c r="B44" s="376" t="s">
        <v>171</v>
      </c>
      <c r="C44" s="376" t="s">
        <v>703</v>
      </c>
      <c r="D44" s="404" t="s">
        <v>2</v>
      </c>
      <c r="E44" s="189"/>
      <c r="F44" s="193" t="s">
        <v>76</v>
      </c>
      <c r="G44" s="194" t="s">
        <v>312</v>
      </c>
      <c r="H44" s="425">
        <v>6.6894603835290622</v>
      </c>
      <c r="I44" s="189"/>
      <c r="J44" s="190" t="s">
        <v>76</v>
      </c>
      <c r="K44" s="191" t="s">
        <v>312</v>
      </c>
      <c r="L44" s="428">
        <v>4.2601010742311498</v>
      </c>
      <c r="M44" s="189"/>
      <c r="N44" s="192"/>
      <c r="O44" s="192"/>
      <c r="P44" s="429"/>
      <c r="Q44" s="564" t="s">
        <v>76</v>
      </c>
      <c r="R44" s="564" t="s">
        <v>74</v>
      </c>
      <c r="S44" s="567">
        <v>6.9837722528379516</v>
      </c>
      <c r="T44" s="189"/>
      <c r="U44" s="260">
        <f t="shared" si="1"/>
        <v>17.933333710598163</v>
      </c>
      <c r="V44" s="570">
        <v>4</v>
      </c>
      <c r="W44" s="412">
        <f>'App 3-Recycling Rate'!S45</f>
        <v>0.57456987419245154</v>
      </c>
    </row>
    <row r="45" spans="1:23" x14ac:dyDescent="0.2">
      <c r="A45" s="376">
        <v>12900</v>
      </c>
      <c r="B45" s="376" t="s">
        <v>177</v>
      </c>
      <c r="C45" s="376" t="s">
        <v>293</v>
      </c>
      <c r="D45" s="404" t="s">
        <v>2</v>
      </c>
      <c r="E45" s="189"/>
      <c r="F45" s="193" t="s">
        <v>76</v>
      </c>
      <c r="G45" s="194" t="s">
        <v>312</v>
      </c>
      <c r="H45" s="425">
        <v>6.4234549008038941</v>
      </c>
      <c r="I45" s="189"/>
      <c r="J45" s="190" t="s">
        <v>76</v>
      </c>
      <c r="K45" s="191" t="s">
        <v>312</v>
      </c>
      <c r="L45" s="428">
        <v>2.8486135345933103</v>
      </c>
      <c r="M45" s="189"/>
      <c r="N45" s="192"/>
      <c r="O45" s="192"/>
      <c r="P45" s="429"/>
      <c r="Q45" s="564" t="s">
        <v>76</v>
      </c>
      <c r="R45" s="564" t="s">
        <v>74</v>
      </c>
      <c r="S45" s="567">
        <v>6.1580688296150328</v>
      </c>
      <c r="T45" s="189"/>
      <c r="U45" s="260">
        <f t="shared" si="1"/>
        <v>15.430137265012238</v>
      </c>
      <c r="V45" s="570">
        <v>4</v>
      </c>
      <c r="W45" s="412">
        <f>'App 3-Recycling Rate'!S46</f>
        <v>0.72633125541092147</v>
      </c>
    </row>
    <row r="46" spans="1:23" x14ac:dyDescent="0.2">
      <c r="A46" s="376">
        <v>12930</v>
      </c>
      <c r="B46" s="376" t="s">
        <v>193</v>
      </c>
      <c r="C46" s="376" t="s">
        <v>127</v>
      </c>
      <c r="D46" s="404" t="s">
        <v>4</v>
      </c>
      <c r="E46" s="189"/>
      <c r="F46" s="193" t="s">
        <v>75</v>
      </c>
      <c r="G46" s="194" t="s">
        <v>74</v>
      </c>
      <c r="H46" s="425">
        <v>13.794412365752265</v>
      </c>
      <c r="I46" s="189"/>
      <c r="J46" s="190" t="s">
        <v>76</v>
      </c>
      <c r="K46" s="191" t="s">
        <v>312</v>
      </c>
      <c r="L46" s="428">
        <v>12.937266821810967</v>
      </c>
      <c r="M46" s="189"/>
      <c r="N46" s="192" t="s">
        <v>76</v>
      </c>
      <c r="O46" s="192" t="s">
        <v>312</v>
      </c>
      <c r="P46" s="429">
        <v>12.209380624150638</v>
      </c>
      <c r="Q46" s="564"/>
      <c r="R46" s="564"/>
      <c r="S46" s="567"/>
      <c r="T46" s="189"/>
      <c r="U46" s="260">
        <f t="shared" si="1"/>
        <v>38.94105981171387</v>
      </c>
      <c r="V46" s="570">
        <v>3</v>
      </c>
      <c r="W46" s="412">
        <f>'App 3-Recycling Rate'!S47</f>
        <v>0.41863075196408528</v>
      </c>
    </row>
    <row r="47" spans="1:23" x14ac:dyDescent="0.2">
      <c r="A47" s="376">
        <v>12950</v>
      </c>
      <c r="B47" s="376" t="s">
        <v>178</v>
      </c>
      <c r="C47" s="376" t="s">
        <v>293</v>
      </c>
      <c r="D47" s="404" t="s">
        <v>2</v>
      </c>
      <c r="E47" s="189"/>
      <c r="F47" s="193" t="s">
        <v>76</v>
      </c>
      <c r="G47" s="194" t="s">
        <v>74</v>
      </c>
      <c r="H47" s="425">
        <v>14.085773908037707</v>
      </c>
      <c r="I47" s="189"/>
      <c r="J47" s="190" t="s">
        <v>76</v>
      </c>
      <c r="K47" s="191" t="s">
        <v>312</v>
      </c>
      <c r="L47" s="428">
        <v>10.570626753975679</v>
      </c>
      <c r="M47" s="189"/>
      <c r="N47" s="192"/>
      <c r="O47" s="192"/>
      <c r="P47" s="429"/>
      <c r="Q47" s="564"/>
      <c r="R47" s="564"/>
      <c r="S47" s="567"/>
      <c r="T47" s="189"/>
      <c r="U47" s="260">
        <f t="shared" si="1"/>
        <v>24.656400662013386</v>
      </c>
      <c r="V47" s="570">
        <v>2</v>
      </c>
      <c r="W47" s="412">
        <f>'App 3-Recycling Rate'!S48</f>
        <v>0.5061106149762058</v>
      </c>
    </row>
    <row r="48" spans="1:23" x14ac:dyDescent="0.2">
      <c r="A48" s="376">
        <v>13010</v>
      </c>
      <c r="B48" s="376" t="s">
        <v>179</v>
      </c>
      <c r="C48" s="376" t="s">
        <v>125</v>
      </c>
      <c r="D48" s="404" t="s">
        <v>2</v>
      </c>
      <c r="E48" s="189"/>
      <c r="F48" s="193" t="s">
        <v>73</v>
      </c>
      <c r="G48" s="194" t="s">
        <v>74</v>
      </c>
      <c r="H48" s="425">
        <v>8.9256734826355082</v>
      </c>
      <c r="I48" s="189"/>
      <c r="J48" s="190" t="s">
        <v>76</v>
      </c>
      <c r="K48" s="191" t="s">
        <v>312</v>
      </c>
      <c r="L48" s="428">
        <v>2.9383722817267119</v>
      </c>
      <c r="M48" s="189"/>
      <c r="N48" s="192"/>
      <c r="O48" s="192"/>
      <c r="P48" s="429"/>
      <c r="Q48" s="564"/>
      <c r="R48" s="564"/>
      <c r="S48" s="567"/>
      <c r="T48" s="189"/>
      <c r="U48" s="260">
        <f t="shared" si="1"/>
        <v>11.864045764362221</v>
      </c>
      <c r="V48" s="570">
        <v>2</v>
      </c>
      <c r="W48" s="412">
        <f>'App 3-Recycling Rate'!S49</f>
        <v>0.53696928763062612</v>
      </c>
    </row>
    <row r="49" spans="1:23" x14ac:dyDescent="0.2">
      <c r="A49" s="376">
        <v>13310</v>
      </c>
      <c r="B49" s="376" t="s">
        <v>182</v>
      </c>
      <c r="C49" s="376" t="s">
        <v>704</v>
      </c>
      <c r="D49" s="404" t="s">
        <v>2</v>
      </c>
      <c r="E49" s="189"/>
      <c r="F49" s="193" t="s">
        <v>73</v>
      </c>
      <c r="G49" s="194" t="s">
        <v>74</v>
      </c>
      <c r="H49" s="425">
        <v>6.9289803220035777</v>
      </c>
      <c r="I49" s="189"/>
      <c r="J49" s="190" t="s">
        <v>76</v>
      </c>
      <c r="K49" s="191" t="s">
        <v>312</v>
      </c>
      <c r="L49" s="428">
        <v>3.7326367811002479</v>
      </c>
      <c r="M49" s="189"/>
      <c r="N49" s="192"/>
      <c r="O49" s="192"/>
      <c r="P49" s="429"/>
      <c r="Q49" s="564" t="s">
        <v>76</v>
      </c>
      <c r="R49" s="564" t="s">
        <v>312</v>
      </c>
      <c r="S49" s="567">
        <v>5.8258892608438799</v>
      </c>
      <c r="T49" s="189"/>
      <c r="U49" s="260">
        <f t="shared" si="1"/>
        <v>16.487506363947706</v>
      </c>
      <c r="V49" s="570">
        <v>4</v>
      </c>
      <c r="W49" s="412">
        <f>'App 3-Recycling Rate'!S50</f>
        <v>0.3333392955643309</v>
      </c>
    </row>
    <row r="50" spans="1:23" x14ac:dyDescent="0.2">
      <c r="A50" s="376">
        <v>13340</v>
      </c>
      <c r="B50" s="376" t="s">
        <v>183</v>
      </c>
      <c r="C50" s="376" t="s">
        <v>703</v>
      </c>
      <c r="D50" s="404" t="s">
        <v>2</v>
      </c>
      <c r="E50" s="189"/>
      <c r="F50" s="193" t="s">
        <v>76</v>
      </c>
      <c r="G50" s="194" t="s">
        <v>74</v>
      </c>
      <c r="H50" s="425">
        <v>14.990811236545026</v>
      </c>
      <c r="I50" s="189"/>
      <c r="J50" s="190" t="s">
        <v>76</v>
      </c>
      <c r="K50" s="191" t="s">
        <v>312</v>
      </c>
      <c r="L50" s="428">
        <v>5.0480769230769234</v>
      </c>
      <c r="M50" s="189"/>
      <c r="N50" s="192"/>
      <c r="O50" s="192"/>
      <c r="P50" s="429"/>
      <c r="Q50" s="564"/>
      <c r="R50" s="564"/>
      <c r="S50" s="567"/>
      <c r="T50" s="189"/>
      <c r="U50" s="260">
        <f t="shared" si="1"/>
        <v>20.038888159621948</v>
      </c>
      <c r="V50" s="570">
        <v>2</v>
      </c>
      <c r="W50" s="412">
        <f>'App 3-Recycling Rate'!S51</f>
        <v>0.33970692717584366</v>
      </c>
    </row>
    <row r="51" spans="1:23" x14ac:dyDescent="0.2">
      <c r="A51" s="376">
        <v>13450</v>
      </c>
      <c r="B51" s="376" t="s">
        <v>184</v>
      </c>
      <c r="C51" s="376" t="s">
        <v>705</v>
      </c>
      <c r="D51" s="404" t="s">
        <v>2</v>
      </c>
      <c r="E51" s="189"/>
      <c r="F51" s="193" t="s">
        <v>76</v>
      </c>
      <c r="G51" s="194" t="s">
        <v>74</v>
      </c>
      <c r="H51" s="425">
        <v>14.173725701415073</v>
      </c>
      <c r="I51" s="189"/>
      <c r="J51" s="190" t="s">
        <v>76</v>
      </c>
      <c r="K51" s="191" t="s">
        <v>312</v>
      </c>
      <c r="L51" s="428">
        <v>3.2822900469959295</v>
      </c>
      <c r="M51" s="189"/>
      <c r="N51" s="192"/>
      <c r="O51" s="192"/>
      <c r="P51" s="429"/>
      <c r="Q51" s="564"/>
      <c r="R51" s="564"/>
      <c r="S51" s="567"/>
      <c r="T51" s="189"/>
      <c r="U51" s="260">
        <f t="shared" si="1"/>
        <v>17.456015748411001</v>
      </c>
      <c r="V51" s="570">
        <v>2</v>
      </c>
      <c r="W51" s="412">
        <f>'App 3-Recycling Rate'!S52</f>
        <v>0.16752049521316134</v>
      </c>
    </row>
    <row r="52" spans="1:23" x14ac:dyDescent="0.2">
      <c r="A52" s="376">
        <v>13510</v>
      </c>
      <c r="B52" s="376" t="s">
        <v>295</v>
      </c>
      <c r="C52" s="376" t="s">
        <v>142</v>
      </c>
      <c r="D52" s="404" t="s">
        <v>2</v>
      </c>
      <c r="E52" s="189"/>
      <c r="F52" s="193" t="s">
        <v>73</v>
      </c>
      <c r="G52" s="194" t="s">
        <v>74</v>
      </c>
      <c r="H52" s="425">
        <v>8.3365180938837788</v>
      </c>
      <c r="I52" s="189"/>
      <c r="J52" s="190" t="s">
        <v>76</v>
      </c>
      <c r="K52" s="191" t="s">
        <v>312</v>
      </c>
      <c r="L52" s="428">
        <v>3.2527514849871868</v>
      </c>
      <c r="M52" s="189"/>
      <c r="N52" s="192" t="s">
        <v>76</v>
      </c>
      <c r="O52" s="192" t="s">
        <v>312</v>
      </c>
      <c r="P52" s="429">
        <v>4.6550016507098055</v>
      </c>
      <c r="Q52" s="564" t="s">
        <v>76</v>
      </c>
      <c r="R52" s="564" t="s">
        <v>312</v>
      </c>
      <c r="S52" s="567">
        <v>3.2779720279720284</v>
      </c>
      <c r="T52" s="189"/>
      <c r="U52" s="260">
        <f t="shared" si="1"/>
        <v>19.522243257552802</v>
      </c>
      <c r="V52" s="570">
        <v>5</v>
      </c>
      <c r="W52" s="412">
        <f>'App 3-Recycling Rate'!S53</f>
        <v>0.41685401224811741</v>
      </c>
    </row>
    <row r="53" spans="1:23" x14ac:dyDescent="0.2">
      <c r="A53" s="376">
        <v>13550</v>
      </c>
      <c r="B53" s="376" t="s">
        <v>185</v>
      </c>
      <c r="C53" s="376" t="s">
        <v>125</v>
      </c>
      <c r="D53" s="404" t="s">
        <v>2</v>
      </c>
      <c r="E53" s="189"/>
      <c r="F53" s="193" t="s">
        <v>73</v>
      </c>
      <c r="G53" s="194" t="s">
        <v>74</v>
      </c>
      <c r="H53" s="425">
        <v>11.173000485602776</v>
      </c>
      <c r="I53" s="189"/>
      <c r="J53" s="190" t="s">
        <v>75</v>
      </c>
      <c r="K53" s="191" t="s">
        <v>74</v>
      </c>
      <c r="L53" s="428">
        <v>6.0070862034855486</v>
      </c>
      <c r="M53" s="189"/>
      <c r="N53" s="192" t="s">
        <v>76</v>
      </c>
      <c r="O53" s="192" t="s">
        <v>312</v>
      </c>
      <c r="P53" s="429">
        <v>5.9719135522496369</v>
      </c>
      <c r="Q53" s="564"/>
      <c r="R53" s="564"/>
      <c r="S53" s="567"/>
      <c r="T53" s="189"/>
      <c r="U53" s="260">
        <f t="shared" si="1"/>
        <v>23.152000241337959</v>
      </c>
      <c r="V53" s="570">
        <v>3</v>
      </c>
      <c r="W53" s="412">
        <f>'App 3-Recycling Rate'!S54</f>
        <v>0.46382462799397534</v>
      </c>
    </row>
    <row r="54" spans="1:23" x14ac:dyDescent="0.2">
      <c r="A54" s="376">
        <v>13660</v>
      </c>
      <c r="B54" s="376" t="s">
        <v>186</v>
      </c>
      <c r="C54" s="376" t="s">
        <v>125</v>
      </c>
      <c r="D54" s="404" t="s">
        <v>2</v>
      </c>
      <c r="E54" s="189"/>
      <c r="F54" s="193" t="s">
        <v>73</v>
      </c>
      <c r="G54" s="194" t="s">
        <v>74</v>
      </c>
      <c r="H54" s="425">
        <v>7.0242914979757085</v>
      </c>
      <c r="I54" s="189"/>
      <c r="J54" s="190" t="s">
        <v>81</v>
      </c>
      <c r="K54" s="191" t="s">
        <v>312</v>
      </c>
      <c r="L54" s="428">
        <v>4.1020821283979183</v>
      </c>
      <c r="M54" s="189"/>
      <c r="N54" s="192"/>
      <c r="O54" s="192"/>
      <c r="P54" s="429"/>
      <c r="Q54" s="564" t="s">
        <v>76</v>
      </c>
      <c r="R54" s="564" t="s">
        <v>312</v>
      </c>
      <c r="S54" s="567">
        <v>3.156448814343551</v>
      </c>
      <c r="T54" s="189"/>
      <c r="U54" s="260">
        <f t="shared" si="1"/>
        <v>14.28282244071718</v>
      </c>
      <c r="V54" s="570">
        <v>4</v>
      </c>
      <c r="W54" s="412">
        <f>'App 3-Recycling Rate'!S55</f>
        <v>0.49168338414393353</v>
      </c>
    </row>
    <row r="55" spans="1:23" x14ac:dyDescent="0.2">
      <c r="A55" s="376">
        <v>13800</v>
      </c>
      <c r="B55" s="376" t="s">
        <v>188</v>
      </c>
      <c r="C55" s="376" t="s">
        <v>129</v>
      </c>
      <c r="D55" s="404" t="s">
        <v>3</v>
      </c>
      <c r="E55" s="189"/>
      <c r="F55" s="193" t="s">
        <v>76</v>
      </c>
      <c r="G55" s="194" t="s">
        <v>74</v>
      </c>
      <c r="H55" s="425">
        <v>15.234353460159912</v>
      </c>
      <c r="I55" s="189"/>
      <c r="J55" s="190" t="s">
        <v>76</v>
      </c>
      <c r="K55" s="191" t="s">
        <v>312</v>
      </c>
      <c r="L55" s="428">
        <v>5.408680438549017</v>
      </c>
      <c r="M55" s="189"/>
      <c r="N55" s="192" t="s">
        <v>76</v>
      </c>
      <c r="O55" s="192" t="s">
        <v>312</v>
      </c>
      <c r="P55" s="429">
        <v>6.3193066417649115</v>
      </c>
      <c r="Q55" s="564"/>
      <c r="R55" s="564"/>
      <c r="S55" s="567"/>
      <c r="T55" s="189"/>
      <c r="U55" s="260">
        <f t="shared" si="1"/>
        <v>26.962340540473839</v>
      </c>
      <c r="V55" s="570">
        <v>3</v>
      </c>
      <c r="W55" s="412">
        <f>'App 3-Recycling Rate'!S56</f>
        <v>0.36013940310471421</v>
      </c>
    </row>
    <row r="56" spans="1:23" x14ac:dyDescent="0.2">
      <c r="A56" s="376">
        <v>13850</v>
      </c>
      <c r="B56" s="376" t="s">
        <v>189</v>
      </c>
      <c r="C56" s="376" t="s">
        <v>705</v>
      </c>
      <c r="D56" s="404" t="s">
        <v>2</v>
      </c>
      <c r="E56" s="189"/>
      <c r="F56" s="193" t="s">
        <v>76</v>
      </c>
      <c r="G56" s="194" t="s">
        <v>74</v>
      </c>
      <c r="H56" s="425">
        <v>10.184182015167931</v>
      </c>
      <c r="I56" s="189"/>
      <c r="J56" s="190"/>
      <c r="K56" s="191"/>
      <c r="L56" s="428"/>
      <c r="M56" s="189"/>
      <c r="N56" s="192"/>
      <c r="O56" s="192"/>
      <c r="P56" s="429"/>
      <c r="Q56" s="564"/>
      <c r="R56" s="564"/>
      <c r="S56" s="567"/>
      <c r="T56" s="189"/>
      <c r="U56" s="260">
        <f t="shared" si="1"/>
        <v>10.184182015167931</v>
      </c>
      <c r="V56" s="570">
        <v>1</v>
      </c>
      <c r="W56" s="412">
        <f>'App 3-Recycling Rate'!S57</f>
        <v>0</v>
      </c>
    </row>
    <row r="57" spans="1:23" x14ac:dyDescent="0.2">
      <c r="A57" s="376">
        <v>13910</v>
      </c>
      <c r="B57" s="376" t="s">
        <v>148</v>
      </c>
      <c r="C57" s="376" t="s">
        <v>704</v>
      </c>
      <c r="D57" s="404" t="s">
        <v>2</v>
      </c>
      <c r="E57" s="189"/>
      <c r="F57" s="193" t="s">
        <v>73</v>
      </c>
      <c r="G57" s="194" t="s">
        <v>74</v>
      </c>
      <c r="H57" s="425">
        <v>14.080248779855744</v>
      </c>
      <c r="I57" s="189"/>
      <c r="J57" s="190" t="s">
        <v>76</v>
      </c>
      <c r="K57" s="191" t="s">
        <v>74</v>
      </c>
      <c r="L57" s="428">
        <v>4.3363141694262497</v>
      </c>
      <c r="M57" s="189"/>
      <c r="N57" s="192" t="s">
        <v>76</v>
      </c>
      <c r="O57" s="192" t="s">
        <v>312</v>
      </c>
      <c r="P57" s="429">
        <v>3.7633599277434895</v>
      </c>
      <c r="Q57" s="564" t="s">
        <v>76</v>
      </c>
      <c r="R57" s="564" t="s">
        <v>312</v>
      </c>
      <c r="S57" s="567">
        <v>4.4423661444938043</v>
      </c>
      <c r="T57" s="189"/>
      <c r="U57" s="260">
        <f t="shared" si="1"/>
        <v>26.622289021519286</v>
      </c>
      <c r="V57" s="570">
        <v>5</v>
      </c>
      <c r="W57" s="412">
        <f>'App 3-Recycling Rate'!S58</f>
        <v>0.44617580875414353</v>
      </c>
    </row>
    <row r="58" spans="1:23" x14ac:dyDescent="0.2">
      <c r="A58" s="376">
        <v>14000</v>
      </c>
      <c r="B58" s="376" t="s">
        <v>191</v>
      </c>
      <c r="C58" s="376" t="s">
        <v>190</v>
      </c>
      <c r="D58" s="404" t="s">
        <v>4</v>
      </c>
      <c r="E58" s="189"/>
      <c r="F58" s="193" t="s">
        <v>73</v>
      </c>
      <c r="G58" s="194" t="s">
        <v>74</v>
      </c>
      <c r="H58" s="425">
        <v>15.097671377468128</v>
      </c>
      <c r="I58" s="189"/>
      <c r="J58" s="190" t="s">
        <v>76</v>
      </c>
      <c r="K58" s="191" t="s">
        <v>312</v>
      </c>
      <c r="L58" s="428">
        <v>6.3507475054628522</v>
      </c>
      <c r="M58" s="189"/>
      <c r="N58" s="192" t="s">
        <v>76</v>
      </c>
      <c r="O58" s="192" t="s">
        <v>312</v>
      </c>
      <c r="P58" s="429">
        <v>9.427637579811492</v>
      </c>
      <c r="Q58" s="564"/>
      <c r="R58" s="564"/>
      <c r="S58" s="567"/>
      <c r="T58" s="189"/>
      <c r="U58" s="260">
        <f t="shared" si="1"/>
        <v>30.876056462742472</v>
      </c>
      <c r="V58" s="570">
        <v>3</v>
      </c>
      <c r="W58" s="412">
        <f>'App 3-Recycling Rate'!S59</f>
        <v>0.5539976531872427</v>
      </c>
    </row>
    <row r="59" spans="1:23" x14ac:dyDescent="0.2">
      <c r="A59" s="376">
        <v>14100</v>
      </c>
      <c r="B59" s="376" t="s">
        <v>192</v>
      </c>
      <c r="C59" s="376" t="s">
        <v>190</v>
      </c>
      <c r="D59" s="404" t="s">
        <v>4</v>
      </c>
      <c r="E59" s="189"/>
      <c r="F59" s="193" t="s">
        <v>75</v>
      </c>
      <c r="G59" s="194" t="s">
        <v>74</v>
      </c>
      <c r="H59" s="425">
        <v>12.459371614301192</v>
      </c>
      <c r="I59" s="189"/>
      <c r="J59" s="190" t="s">
        <v>75</v>
      </c>
      <c r="K59" s="191" t="s">
        <v>312</v>
      </c>
      <c r="L59" s="428">
        <v>5.4812123360510459</v>
      </c>
      <c r="M59" s="189"/>
      <c r="N59" s="192" t="s">
        <v>76</v>
      </c>
      <c r="O59" s="192" t="s">
        <v>312</v>
      </c>
      <c r="P59" s="429">
        <v>4.9672102091456924</v>
      </c>
      <c r="Q59" s="564"/>
      <c r="R59" s="564"/>
      <c r="S59" s="567"/>
      <c r="T59" s="189"/>
      <c r="U59" s="260">
        <f t="shared" si="1"/>
        <v>22.907794159497932</v>
      </c>
      <c r="V59" s="570">
        <v>3</v>
      </c>
      <c r="W59" s="412">
        <f>'App 3-Recycling Rate'!S60</f>
        <v>0.48107945014565318</v>
      </c>
    </row>
    <row r="60" spans="1:23" x14ac:dyDescent="0.2">
      <c r="A60" s="376">
        <v>14170</v>
      </c>
      <c r="B60" s="376" t="s">
        <v>128</v>
      </c>
      <c r="C60" s="376" t="s">
        <v>127</v>
      </c>
      <c r="D60" s="404" t="s">
        <v>4</v>
      </c>
      <c r="E60" s="189"/>
      <c r="F60" s="193" t="s">
        <v>75</v>
      </c>
      <c r="G60" s="194" t="s">
        <v>74</v>
      </c>
      <c r="H60" s="425">
        <v>10.495096751320775</v>
      </c>
      <c r="I60" s="189"/>
      <c r="J60" s="190" t="s">
        <v>75</v>
      </c>
      <c r="K60" s="191" t="s">
        <v>74</v>
      </c>
      <c r="L60" s="428">
        <v>4.3374901135610875</v>
      </c>
      <c r="M60" s="189"/>
      <c r="N60" s="192" t="s">
        <v>75</v>
      </c>
      <c r="O60" s="192" t="s">
        <v>312</v>
      </c>
      <c r="P60" s="429">
        <v>5.5947065919477135</v>
      </c>
      <c r="Q60" s="564" t="s">
        <v>76</v>
      </c>
      <c r="R60" s="564" t="s">
        <v>74</v>
      </c>
      <c r="S60" s="567">
        <v>9.9564351506099094</v>
      </c>
      <c r="T60" s="189"/>
      <c r="U60" s="260">
        <f t="shared" si="1"/>
        <v>30.383728607439483</v>
      </c>
      <c r="V60" s="570">
        <v>5</v>
      </c>
      <c r="W60" s="412">
        <f>'App 3-Recycling Rate'!S61</f>
        <v>0.36051183557563843</v>
      </c>
    </row>
    <row r="61" spans="1:23" x14ac:dyDescent="0.2">
      <c r="A61" s="376">
        <v>14200</v>
      </c>
      <c r="B61" s="376" t="s">
        <v>194</v>
      </c>
      <c r="C61" s="376" t="s">
        <v>125</v>
      </c>
      <c r="D61" s="404" t="s">
        <v>2</v>
      </c>
      <c r="E61" s="189"/>
      <c r="F61" s="193" t="s">
        <v>76</v>
      </c>
      <c r="G61" s="194" t="s">
        <v>74</v>
      </c>
      <c r="H61" s="425">
        <v>14.515979189892233</v>
      </c>
      <c r="I61" s="189"/>
      <c r="J61" s="190" t="s">
        <v>81</v>
      </c>
      <c r="K61" s="191" t="s">
        <v>312</v>
      </c>
      <c r="L61" s="428">
        <v>16.485871608031918</v>
      </c>
      <c r="M61" s="189"/>
      <c r="N61" s="192"/>
      <c r="O61" s="192"/>
      <c r="P61" s="429"/>
      <c r="Q61" s="564"/>
      <c r="R61" s="564"/>
      <c r="S61" s="567"/>
      <c r="T61" s="189"/>
      <c r="U61" s="260">
        <f t="shared" si="1"/>
        <v>31.001850797924149</v>
      </c>
      <c r="V61" s="570">
        <v>2</v>
      </c>
      <c r="W61" s="412">
        <f>'App 3-Recycling Rate'!S62</f>
        <v>0.39015070684299896</v>
      </c>
    </row>
    <row r="62" spans="1:23" x14ac:dyDescent="0.2">
      <c r="A62" s="376">
        <v>14300</v>
      </c>
      <c r="B62" s="376" t="s">
        <v>196</v>
      </c>
      <c r="C62" s="376" t="s">
        <v>142</v>
      </c>
      <c r="D62" s="404" t="s">
        <v>2</v>
      </c>
      <c r="E62" s="189"/>
      <c r="F62" s="193" t="s">
        <v>76</v>
      </c>
      <c r="G62" s="194" t="s">
        <v>74</v>
      </c>
      <c r="H62" s="425">
        <v>9.9690539345711766</v>
      </c>
      <c r="I62" s="189"/>
      <c r="J62" s="190" t="s">
        <v>76</v>
      </c>
      <c r="K62" s="191" t="s">
        <v>312</v>
      </c>
      <c r="L62" s="428">
        <v>4.6640141467727672</v>
      </c>
      <c r="M62" s="189"/>
      <c r="N62" s="192"/>
      <c r="O62" s="192"/>
      <c r="P62" s="429"/>
      <c r="Q62" s="564" t="s">
        <v>76</v>
      </c>
      <c r="R62" s="564" t="s">
        <v>312</v>
      </c>
      <c r="S62" s="567">
        <v>0.77365163572060125</v>
      </c>
      <c r="T62" s="189"/>
      <c r="U62" s="260">
        <f t="shared" si="1"/>
        <v>15.406719717064544</v>
      </c>
      <c r="V62" s="570">
        <v>4</v>
      </c>
      <c r="W62" s="412">
        <f>'App 3-Recycling Rate'!S63</f>
        <v>0.4747881878752982</v>
      </c>
    </row>
    <row r="63" spans="1:23" x14ac:dyDescent="0.2">
      <c r="A63" s="376">
        <v>14350</v>
      </c>
      <c r="B63" s="376" t="s">
        <v>197</v>
      </c>
      <c r="C63" s="376" t="s">
        <v>294</v>
      </c>
      <c r="D63" s="404" t="s">
        <v>5</v>
      </c>
      <c r="E63" s="189"/>
      <c r="F63" s="193" t="s">
        <v>73</v>
      </c>
      <c r="G63" s="194" t="s">
        <v>74</v>
      </c>
      <c r="H63" s="425">
        <v>9.9234235985562762</v>
      </c>
      <c r="I63" s="189"/>
      <c r="J63" s="190" t="s">
        <v>76</v>
      </c>
      <c r="K63" s="191" t="s">
        <v>312</v>
      </c>
      <c r="L63" s="428">
        <v>4.6957413525635614</v>
      </c>
      <c r="M63" s="189"/>
      <c r="N63" s="192"/>
      <c r="O63" s="192"/>
      <c r="P63" s="429"/>
      <c r="Q63" s="564" t="s">
        <v>76</v>
      </c>
      <c r="R63" s="564" t="s">
        <v>312</v>
      </c>
      <c r="S63" s="567">
        <v>5.2904481881754606</v>
      </c>
      <c r="T63" s="189"/>
      <c r="U63" s="260">
        <f t="shared" si="1"/>
        <v>19.909613139295299</v>
      </c>
      <c r="V63" s="570">
        <v>4</v>
      </c>
      <c r="W63" s="412">
        <f>'App 3-Recycling Rate'!S64</f>
        <v>0.38721772899317153</v>
      </c>
    </row>
    <row r="64" spans="1:23" x14ac:dyDescent="0.2">
      <c r="A64" s="376">
        <v>14400</v>
      </c>
      <c r="B64" s="376" t="s">
        <v>198</v>
      </c>
      <c r="C64" s="376" t="s">
        <v>291</v>
      </c>
      <c r="D64" s="404" t="s">
        <v>3</v>
      </c>
      <c r="E64" s="189"/>
      <c r="F64" s="193" t="s">
        <v>73</v>
      </c>
      <c r="G64" s="194" t="s">
        <v>312</v>
      </c>
      <c r="H64" s="425">
        <v>5.7612558728177383</v>
      </c>
      <c r="I64" s="189"/>
      <c r="J64" s="190" t="s">
        <v>76</v>
      </c>
      <c r="K64" s="191" t="s">
        <v>74</v>
      </c>
      <c r="L64" s="428">
        <v>5.824542046414714</v>
      </c>
      <c r="M64" s="189"/>
      <c r="N64" s="192"/>
      <c r="O64" s="192"/>
      <c r="P64" s="429"/>
      <c r="Q64" s="564" t="s">
        <v>76</v>
      </c>
      <c r="R64" s="564" t="s">
        <v>74</v>
      </c>
      <c r="S64" s="567">
        <v>9.5040177874863474</v>
      </c>
      <c r="T64" s="189"/>
      <c r="U64" s="260">
        <f t="shared" si="1"/>
        <v>21.089815706718799</v>
      </c>
      <c r="V64" s="570">
        <v>4</v>
      </c>
      <c r="W64" s="412">
        <f>'App 3-Recycling Rate'!S65</f>
        <v>0.75189572584996456</v>
      </c>
    </row>
    <row r="65" spans="1:23" x14ac:dyDescent="0.2">
      <c r="A65" s="376">
        <v>14500</v>
      </c>
      <c r="B65" s="376" t="s">
        <v>199</v>
      </c>
      <c r="C65" s="376" t="s">
        <v>190</v>
      </c>
      <c r="D65" s="404" t="s">
        <v>4</v>
      </c>
      <c r="E65" s="189"/>
      <c r="F65" s="193" t="s">
        <v>75</v>
      </c>
      <c r="G65" s="194" t="s">
        <v>74</v>
      </c>
      <c r="H65" s="425">
        <v>10.027018176598302</v>
      </c>
      <c r="I65" s="189"/>
      <c r="J65" s="190" t="s">
        <v>76</v>
      </c>
      <c r="K65" s="191" t="s">
        <v>312</v>
      </c>
      <c r="L65" s="428">
        <v>5.5092049308284441</v>
      </c>
      <c r="M65" s="189"/>
      <c r="N65" s="192" t="s">
        <v>81</v>
      </c>
      <c r="O65" s="192" t="s">
        <v>312</v>
      </c>
      <c r="P65" s="429">
        <v>10.513637371331201</v>
      </c>
      <c r="Q65" s="564"/>
      <c r="R65" s="564"/>
      <c r="S65" s="567"/>
      <c r="T65" s="189"/>
      <c r="U65" s="260">
        <f t="shared" si="1"/>
        <v>26.04986047875795</v>
      </c>
      <c r="V65" s="570">
        <v>3</v>
      </c>
      <c r="W65" s="412">
        <f>'App 3-Recycling Rate'!S66</f>
        <v>0.54490602130088672</v>
      </c>
    </row>
    <row r="66" spans="1:23" x14ac:dyDescent="0.2">
      <c r="A66" s="376">
        <v>14550</v>
      </c>
      <c r="B66" s="376" t="s">
        <v>200</v>
      </c>
      <c r="C66" s="376" t="s">
        <v>131</v>
      </c>
      <c r="D66" s="404" t="s">
        <v>5</v>
      </c>
      <c r="E66" s="189"/>
      <c r="F66" s="193" t="s">
        <v>315</v>
      </c>
      <c r="G66" s="194" t="s">
        <v>74</v>
      </c>
      <c r="H66" s="425">
        <v>9.7083905677655675</v>
      </c>
      <c r="I66" s="189"/>
      <c r="J66" s="190" t="s">
        <v>362</v>
      </c>
      <c r="K66" s="191" t="s">
        <v>74</v>
      </c>
      <c r="L66" s="428">
        <v>4.1879387973137971</v>
      </c>
      <c r="M66" s="189"/>
      <c r="N66" s="192"/>
      <c r="O66" s="192"/>
      <c r="P66" s="429"/>
      <c r="Q66" s="564"/>
      <c r="R66" s="564"/>
      <c r="S66" s="567"/>
      <c r="T66" s="189"/>
      <c r="U66" s="260">
        <f t="shared" si="1"/>
        <v>13.896329365079364</v>
      </c>
      <c r="V66" s="570">
        <v>2</v>
      </c>
      <c r="W66" s="412">
        <f>'App 3-Recycling Rate'!S67</f>
        <v>0.43041856131833567</v>
      </c>
    </row>
    <row r="67" spans="1:23" x14ac:dyDescent="0.2">
      <c r="A67" s="376">
        <v>14600</v>
      </c>
      <c r="B67" s="376" t="s">
        <v>201</v>
      </c>
      <c r="C67" s="376" t="s">
        <v>293</v>
      </c>
      <c r="D67" s="404" t="s">
        <v>2</v>
      </c>
      <c r="E67" s="189"/>
      <c r="F67" s="193" t="s">
        <v>76</v>
      </c>
      <c r="G67" s="194" t="s">
        <v>74</v>
      </c>
      <c r="H67" s="425">
        <v>13.0118276132632</v>
      </c>
      <c r="I67" s="189"/>
      <c r="J67" s="190" t="s">
        <v>76</v>
      </c>
      <c r="K67" s="191" t="s">
        <v>312</v>
      </c>
      <c r="L67" s="428">
        <v>0.42588186918083826</v>
      </c>
      <c r="M67" s="189"/>
      <c r="N67" s="192" t="s">
        <v>76</v>
      </c>
      <c r="O67" s="192" t="s">
        <v>312</v>
      </c>
      <c r="P67" s="429">
        <v>3.4016690856313496</v>
      </c>
      <c r="Q67" s="564"/>
      <c r="R67" s="564"/>
      <c r="S67" s="567"/>
      <c r="T67" s="189"/>
      <c r="U67" s="260">
        <f t="shared" si="1"/>
        <v>16.839378568075389</v>
      </c>
      <c r="V67" s="570">
        <v>3</v>
      </c>
      <c r="W67" s="412">
        <f>'App 3-Recycling Rate'!S68</f>
        <v>0.17466606498194948</v>
      </c>
    </row>
    <row r="68" spans="1:23" x14ac:dyDescent="0.2">
      <c r="A68" s="376">
        <v>14650</v>
      </c>
      <c r="B68" s="376" t="s">
        <v>202</v>
      </c>
      <c r="C68" s="376" t="s">
        <v>163</v>
      </c>
      <c r="D68" s="404" t="s">
        <v>3</v>
      </c>
      <c r="E68" s="189"/>
      <c r="F68" s="193" t="s">
        <v>76</v>
      </c>
      <c r="G68" s="194" t="s">
        <v>74</v>
      </c>
      <c r="H68" s="425">
        <v>13.261644632527638</v>
      </c>
      <c r="I68" s="189"/>
      <c r="J68" s="190" t="s">
        <v>76</v>
      </c>
      <c r="K68" s="191" t="s">
        <v>312</v>
      </c>
      <c r="L68" s="428">
        <v>4.8698438287969896</v>
      </c>
      <c r="M68" s="189"/>
      <c r="N68" s="192" t="s">
        <v>76</v>
      </c>
      <c r="O68" s="192" t="s">
        <v>312</v>
      </c>
      <c r="P68" s="429">
        <v>5.3541446836778714</v>
      </c>
      <c r="Q68" s="564"/>
      <c r="R68" s="564"/>
      <c r="S68" s="567"/>
      <c r="T68" s="189"/>
      <c r="U68" s="260">
        <f t="shared" si="1"/>
        <v>23.485633145002502</v>
      </c>
      <c r="V68" s="570">
        <v>3</v>
      </c>
      <c r="W68" s="412">
        <f>'App 3-Recycling Rate'!S69</f>
        <v>0.42622832070212047</v>
      </c>
    </row>
    <row r="69" spans="1:23" x14ac:dyDescent="0.2">
      <c r="A69" s="376">
        <v>14700</v>
      </c>
      <c r="B69" s="376" t="s">
        <v>203</v>
      </c>
      <c r="C69" s="376" t="s">
        <v>190</v>
      </c>
      <c r="D69" s="404" t="s">
        <v>4</v>
      </c>
      <c r="E69" s="189"/>
      <c r="F69" s="193" t="s">
        <v>77</v>
      </c>
      <c r="G69" s="194" t="s">
        <v>74</v>
      </c>
      <c r="H69" s="425">
        <v>12.130585407239819</v>
      </c>
      <c r="I69" s="189"/>
      <c r="J69" s="190" t="s">
        <v>114</v>
      </c>
      <c r="K69" s="191" t="s">
        <v>312</v>
      </c>
      <c r="L69" s="428">
        <v>3.550128832402073</v>
      </c>
      <c r="M69" s="189"/>
      <c r="N69" s="192" t="s">
        <v>76</v>
      </c>
      <c r="O69" s="192" t="s">
        <v>312</v>
      </c>
      <c r="P69" s="429">
        <v>4.2160203054971186</v>
      </c>
      <c r="Q69" s="564"/>
      <c r="R69" s="564"/>
      <c r="S69" s="567"/>
      <c r="T69" s="189"/>
      <c r="U69" s="260">
        <f t="shared" ref="U69:U100" si="2">H69+L69+P69+S69</f>
        <v>19.896734545139012</v>
      </c>
      <c r="V69" s="570">
        <v>3</v>
      </c>
      <c r="W69" s="412">
        <f>'App 3-Recycling Rate'!S70</f>
        <v>0.40358193955925636</v>
      </c>
    </row>
    <row r="70" spans="1:23" x14ac:dyDescent="0.2">
      <c r="A70" s="376">
        <v>14750</v>
      </c>
      <c r="B70" s="376" t="s">
        <v>204</v>
      </c>
      <c r="C70" s="376" t="s">
        <v>705</v>
      </c>
      <c r="D70" s="404" t="s">
        <v>2</v>
      </c>
      <c r="E70" s="189"/>
      <c r="F70" s="193" t="s">
        <v>76</v>
      </c>
      <c r="G70" s="194" t="s">
        <v>74</v>
      </c>
      <c r="H70" s="425">
        <v>8.1476435798244307</v>
      </c>
      <c r="I70" s="189"/>
      <c r="J70" s="190" t="s">
        <v>75</v>
      </c>
      <c r="K70" s="191" t="s">
        <v>312</v>
      </c>
      <c r="L70" s="428">
        <v>3.0567352924371987</v>
      </c>
      <c r="M70" s="189"/>
      <c r="N70" s="192"/>
      <c r="O70" s="192"/>
      <c r="P70" s="429"/>
      <c r="Q70" s="564"/>
      <c r="R70" s="564"/>
      <c r="S70" s="567"/>
      <c r="T70" s="189"/>
      <c r="U70" s="260">
        <f t="shared" si="2"/>
        <v>11.204378872261628</v>
      </c>
      <c r="V70" s="570">
        <v>2</v>
      </c>
      <c r="W70" s="412">
        <f>'App 3-Recycling Rate'!S71</f>
        <v>0.3890086840609257</v>
      </c>
    </row>
    <row r="71" spans="1:23" x14ac:dyDescent="0.2">
      <c r="A71" s="376">
        <v>14850</v>
      </c>
      <c r="B71" s="376" t="s">
        <v>205</v>
      </c>
      <c r="C71" s="376" t="s">
        <v>131</v>
      </c>
      <c r="D71" s="404" t="s">
        <v>5</v>
      </c>
      <c r="E71" s="189"/>
      <c r="F71" s="193" t="s">
        <v>73</v>
      </c>
      <c r="G71" s="194" t="s">
        <v>312</v>
      </c>
      <c r="H71" s="425">
        <v>6.6631615660511914</v>
      </c>
      <c r="I71" s="189"/>
      <c r="J71" s="190" t="s">
        <v>76</v>
      </c>
      <c r="K71" s="191" t="s">
        <v>312</v>
      </c>
      <c r="L71" s="428">
        <v>6.8778923587071388</v>
      </c>
      <c r="M71" s="189"/>
      <c r="N71" s="192"/>
      <c r="O71" s="192"/>
      <c r="P71" s="429"/>
      <c r="Q71" s="564" t="s">
        <v>76</v>
      </c>
      <c r="R71" s="564" t="s">
        <v>74</v>
      </c>
      <c r="S71" s="567">
        <v>9.3993170749458699</v>
      </c>
      <c r="T71" s="189"/>
      <c r="U71" s="260">
        <f t="shared" si="2"/>
        <v>22.9403709997042</v>
      </c>
      <c r="V71" s="570">
        <v>4</v>
      </c>
      <c r="W71" s="412">
        <f>'App 3-Recycling Rate'!S72</f>
        <v>0.76952536413862371</v>
      </c>
    </row>
    <row r="72" spans="1:23" x14ac:dyDescent="0.2">
      <c r="A72" s="376">
        <v>14870</v>
      </c>
      <c r="B72" s="376" t="s">
        <v>206</v>
      </c>
      <c r="C72" s="376" t="s">
        <v>293</v>
      </c>
      <c r="D72" s="404" t="s">
        <v>2</v>
      </c>
      <c r="E72" s="189"/>
      <c r="F72" s="193" t="s">
        <v>76</v>
      </c>
      <c r="G72" s="194" t="s">
        <v>74</v>
      </c>
      <c r="H72" s="425">
        <v>11.509053480653698</v>
      </c>
      <c r="I72" s="189"/>
      <c r="J72" s="190" t="s">
        <v>76</v>
      </c>
      <c r="K72" s="191" t="s">
        <v>312</v>
      </c>
      <c r="L72" s="428">
        <v>3.0538041193778898</v>
      </c>
      <c r="M72" s="189"/>
      <c r="N72" s="192"/>
      <c r="O72" s="192"/>
      <c r="P72" s="429"/>
      <c r="Q72" s="564"/>
      <c r="R72" s="564"/>
      <c r="S72" s="567"/>
      <c r="T72" s="189"/>
      <c r="U72" s="260">
        <f t="shared" si="2"/>
        <v>14.562857600031588</v>
      </c>
      <c r="V72" s="570">
        <v>2</v>
      </c>
      <c r="W72" s="412">
        <f>'App 3-Recycling Rate'!S73</f>
        <v>0.19232345308018031</v>
      </c>
    </row>
    <row r="73" spans="1:23" x14ac:dyDescent="0.2">
      <c r="A73" s="376">
        <v>14900</v>
      </c>
      <c r="B73" s="376" t="s">
        <v>207</v>
      </c>
      <c r="C73" s="376" t="s">
        <v>129</v>
      </c>
      <c r="D73" s="404" t="s">
        <v>4</v>
      </c>
      <c r="E73" s="189"/>
      <c r="F73" s="193" t="s">
        <v>73</v>
      </c>
      <c r="G73" s="194" t="s">
        <v>74</v>
      </c>
      <c r="H73" s="425">
        <v>14.059785646876371</v>
      </c>
      <c r="I73" s="189"/>
      <c r="J73" s="190" t="s">
        <v>76</v>
      </c>
      <c r="K73" s="191" t="s">
        <v>312</v>
      </c>
      <c r="L73" s="428">
        <v>5.0341098078356774</v>
      </c>
      <c r="M73" s="189"/>
      <c r="N73" s="192" t="s">
        <v>76</v>
      </c>
      <c r="O73" s="192" t="s">
        <v>312</v>
      </c>
      <c r="P73" s="429">
        <v>5.8745573363513568</v>
      </c>
      <c r="Q73" s="564"/>
      <c r="R73" s="564"/>
      <c r="S73" s="567"/>
      <c r="T73" s="189"/>
      <c r="U73" s="260">
        <f t="shared" si="2"/>
        <v>24.968452791063406</v>
      </c>
      <c r="V73" s="570">
        <v>3</v>
      </c>
      <c r="W73" s="412">
        <f>'App 3-Recycling Rate'!S74</f>
        <v>0.65355580844903849</v>
      </c>
    </row>
    <row r="74" spans="1:23" x14ac:dyDescent="0.2">
      <c r="A74" s="376">
        <v>14920</v>
      </c>
      <c r="B74" s="376" t="s">
        <v>208</v>
      </c>
      <c r="C74" s="376" t="s">
        <v>125</v>
      </c>
      <c r="D74" s="404" t="s">
        <v>2</v>
      </c>
      <c r="E74" s="189"/>
      <c r="F74" s="193" t="s">
        <v>76</v>
      </c>
      <c r="G74" s="194" t="s">
        <v>74</v>
      </c>
      <c r="H74" s="425">
        <v>10.2291325695581</v>
      </c>
      <c r="I74" s="189"/>
      <c r="J74" s="190" t="s">
        <v>76</v>
      </c>
      <c r="K74" s="191" t="s">
        <v>312</v>
      </c>
      <c r="L74" s="428">
        <v>3.4637552649080026</v>
      </c>
      <c r="M74" s="189"/>
      <c r="N74" s="192"/>
      <c r="O74" s="192"/>
      <c r="P74" s="429"/>
      <c r="Q74" s="564"/>
      <c r="R74" s="564"/>
      <c r="S74" s="567"/>
      <c r="T74" s="189"/>
      <c r="U74" s="260">
        <f t="shared" si="2"/>
        <v>13.692887834466102</v>
      </c>
      <c r="V74" s="570">
        <v>2</v>
      </c>
      <c r="W74" s="412">
        <f>'App 3-Recycling Rate'!S75</f>
        <v>0.26333956650084095</v>
      </c>
    </row>
    <row r="75" spans="1:23" x14ac:dyDescent="0.2">
      <c r="A75" s="376">
        <v>14950</v>
      </c>
      <c r="B75" s="376" t="s">
        <v>209</v>
      </c>
      <c r="C75" s="376" t="s">
        <v>142</v>
      </c>
      <c r="D75" s="404" t="s">
        <v>2</v>
      </c>
      <c r="E75" s="189"/>
      <c r="F75" s="193" t="s">
        <v>76</v>
      </c>
      <c r="G75" s="194" t="s">
        <v>74</v>
      </c>
      <c r="H75" s="425">
        <v>13.035490931832395</v>
      </c>
      <c r="I75" s="189"/>
      <c r="J75" s="190" t="s">
        <v>76</v>
      </c>
      <c r="K75" s="191" t="s">
        <v>312</v>
      </c>
      <c r="L75" s="428">
        <v>4.1933375584250969</v>
      </c>
      <c r="M75" s="189"/>
      <c r="N75" s="192"/>
      <c r="O75" s="192"/>
      <c r="P75" s="429"/>
      <c r="Q75" s="564"/>
      <c r="R75" s="564"/>
      <c r="S75" s="567"/>
      <c r="T75" s="189"/>
      <c r="U75" s="260">
        <f t="shared" si="2"/>
        <v>17.228828490257492</v>
      </c>
      <c r="V75" s="570">
        <v>2</v>
      </c>
      <c r="W75" s="412">
        <f>'App 3-Recycling Rate'!S76</f>
        <v>0.36607166823245196</v>
      </c>
    </row>
    <row r="76" spans="1:23" x14ac:dyDescent="0.2">
      <c r="A76" s="376">
        <v>15050</v>
      </c>
      <c r="B76" s="376" t="s">
        <v>210</v>
      </c>
      <c r="C76" s="376" t="s">
        <v>163</v>
      </c>
      <c r="D76" s="404" t="s">
        <v>3</v>
      </c>
      <c r="E76" s="189"/>
      <c r="F76" s="193" t="s">
        <v>76</v>
      </c>
      <c r="G76" s="194" t="s">
        <v>74</v>
      </c>
      <c r="H76" s="425">
        <v>16.220131777407321</v>
      </c>
      <c r="I76" s="189"/>
      <c r="J76" s="190" t="s">
        <v>76</v>
      </c>
      <c r="K76" s="191" t="s">
        <v>312</v>
      </c>
      <c r="L76" s="428">
        <v>4.2961556025030481</v>
      </c>
      <c r="M76" s="189"/>
      <c r="N76" s="192" t="s">
        <v>76</v>
      </c>
      <c r="O76" s="192" t="s">
        <v>312</v>
      </c>
      <c r="P76" s="429">
        <v>1.6883110296224726</v>
      </c>
      <c r="Q76" s="564"/>
      <c r="R76" s="564"/>
      <c r="S76" s="567"/>
      <c r="T76" s="189"/>
      <c r="U76" s="260">
        <f t="shared" si="2"/>
        <v>22.204598409532842</v>
      </c>
      <c r="V76" s="570">
        <v>3</v>
      </c>
      <c r="W76" s="412">
        <f>'App 3-Recycling Rate'!S77</f>
        <v>0.34153655968133328</v>
      </c>
    </row>
    <row r="77" spans="1:23" x14ac:dyDescent="0.2">
      <c r="A77" s="376">
        <v>15240</v>
      </c>
      <c r="B77" s="376" t="s">
        <v>180</v>
      </c>
      <c r="C77" s="376" t="s">
        <v>294</v>
      </c>
      <c r="D77" s="404" t="s">
        <v>5</v>
      </c>
      <c r="E77" s="189"/>
      <c r="F77" s="193" t="s">
        <v>73</v>
      </c>
      <c r="G77" s="194" t="s">
        <v>74</v>
      </c>
      <c r="H77" s="425">
        <v>9.1851982412046773</v>
      </c>
      <c r="I77" s="189"/>
      <c r="J77" s="190" t="s">
        <v>76</v>
      </c>
      <c r="K77" s="191" t="s">
        <v>312</v>
      </c>
      <c r="L77" s="428">
        <v>4.7380543007365166</v>
      </c>
      <c r="M77" s="189"/>
      <c r="N77" s="192" t="s">
        <v>76</v>
      </c>
      <c r="O77" s="192" t="s">
        <v>312</v>
      </c>
      <c r="P77" s="429">
        <v>5.5942092811492081</v>
      </c>
      <c r="Q77" s="564"/>
      <c r="R77" s="564"/>
      <c r="S77" s="567"/>
      <c r="T77" s="189"/>
      <c r="U77" s="260">
        <f t="shared" si="2"/>
        <v>19.5174618230904</v>
      </c>
      <c r="V77" s="570">
        <v>3</v>
      </c>
      <c r="W77" s="412">
        <f>'App 3-Recycling Rate'!S78</f>
        <v>0.5394050804157583</v>
      </c>
    </row>
    <row r="78" spans="1:23" x14ac:dyDescent="0.2">
      <c r="A78" s="376">
        <v>15270</v>
      </c>
      <c r="B78" s="376" t="s">
        <v>212</v>
      </c>
      <c r="C78" s="376" t="s">
        <v>293</v>
      </c>
      <c r="D78" s="404" t="s">
        <v>2</v>
      </c>
      <c r="E78" s="189"/>
      <c r="F78" s="193" t="s">
        <v>76</v>
      </c>
      <c r="G78" s="194" t="s">
        <v>74</v>
      </c>
      <c r="H78" s="425">
        <v>11.872955507836801</v>
      </c>
      <c r="I78" s="189"/>
      <c r="J78" s="190" t="s">
        <v>76</v>
      </c>
      <c r="K78" s="191" t="s">
        <v>74</v>
      </c>
      <c r="L78" s="428">
        <v>2.8714704288667243</v>
      </c>
      <c r="M78" s="189"/>
      <c r="N78" s="192"/>
      <c r="O78" s="192"/>
      <c r="P78" s="429"/>
      <c r="Q78" s="564"/>
      <c r="R78" s="564"/>
      <c r="S78" s="567"/>
      <c r="T78" s="189"/>
      <c r="U78" s="260">
        <f t="shared" si="2"/>
        <v>14.744425936703525</v>
      </c>
      <c r="V78" s="570">
        <v>2</v>
      </c>
      <c r="W78" s="412">
        <f>'App 3-Recycling Rate'!S79</f>
        <v>0.25451833162745074</v>
      </c>
    </row>
    <row r="79" spans="1:23" x14ac:dyDescent="0.2">
      <c r="A79" s="376">
        <v>15300</v>
      </c>
      <c r="B79" s="376" t="s">
        <v>213</v>
      </c>
      <c r="C79" s="376" t="s">
        <v>125</v>
      </c>
      <c r="D79" s="404" t="s">
        <v>2</v>
      </c>
      <c r="E79" s="189"/>
      <c r="F79" s="193" t="s">
        <v>73</v>
      </c>
      <c r="G79" s="194" t="s">
        <v>74</v>
      </c>
      <c r="H79" s="425">
        <v>8.4284462349417293</v>
      </c>
      <c r="I79" s="189"/>
      <c r="J79" s="190" t="s">
        <v>76</v>
      </c>
      <c r="K79" s="191" t="s">
        <v>312</v>
      </c>
      <c r="L79" s="428">
        <v>4.1012584113999209</v>
      </c>
      <c r="M79" s="189"/>
      <c r="N79" s="192"/>
      <c r="O79" s="192"/>
      <c r="P79" s="429"/>
      <c r="Q79" s="564" t="s">
        <v>76</v>
      </c>
      <c r="R79" s="565" t="s">
        <v>312</v>
      </c>
      <c r="S79" s="567">
        <v>3.7176054829727994</v>
      </c>
      <c r="T79" s="189"/>
      <c r="U79" s="260">
        <f t="shared" si="2"/>
        <v>16.24731012931445</v>
      </c>
      <c r="V79" s="570">
        <v>4</v>
      </c>
      <c r="W79" s="412">
        <f>'App 3-Recycling Rate'!S80</f>
        <v>0.40945567007584183</v>
      </c>
    </row>
    <row r="80" spans="1:23" x14ac:dyDescent="0.2">
      <c r="A80" s="376">
        <v>15350</v>
      </c>
      <c r="B80" s="376" t="s">
        <v>214</v>
      </c>
      <c r="C80" s="376" t="s">
        <v>190</v>
      </c>
      <c r="D80" s="404" t="s">
        <v>4</v>
      </c>
      <c r="E80" s="189"/>
      <c r="F80" s="193" t="s">
        <v>77</v>
      </c>
      <c r="G80" s="194" t="s">
        <v>74</v>
      </c>
      <c r="H80" s="425">
        <v>9.2510679552822133</v>
      </c>
      <c r="I80" s="189"/>
      <c r="J80" s="190" t="s">
        <v>73</v>
      </c>
      <c r="K80" s="191" t="s">
        <v>312</v>
      </c>
      <c r="L80" s="428">
        <v>4.1869906383494406</v>
      </c>
      <c r="M80" s="189"/>
      <c r="N80" s="192" t="s">
        <v>76</v>
      </c>
      <c r="O80" s="192" t="s">
        <v>80</v>
      </c>
      <c r="P80" s="429">
        <v>2.0450207531735694</v>
      </c>
      <c r="Q80" s="564"/>
      <c r="R80" s="564"/>
      <c r="S80" s="567"/>
      <c r="T80" s="189"/>
      <c r="U80" s="260">
        <f t="shared" si="2"/>
        <v>15.483079346805223</v>
      </c>
      <c r="V80" s="570">
        <v>3</v>
      </c>
      <c r="W80" s="412">
        <f>'App 3-Recycling Rate'!S81</f>
        <v>0.39031620553359686</v>
      </c>
    </row>
    <row r="81" spans="1:23" x14ac:dyDescent="0.2">
      <c r="A81" s="376">
        <v>15520</v>
      </c>
      <c r="B81" s="376" t="s">
        <v>215</v>
      </c>
      <c r="C81" s="376" t="s">
        <v>703</v>
      </c>
      <c r="D81" s="404" t="s">
        <v>2</v>
      </c>
      <c r="E81" s="189"/>
      <c r="F81" s="193" t="s">
        <v>75</v>
      </c>
      <c r="G81" s="194" t="s">
        <v>74</v>
      </c>
      <c r="H81" s="425">
        <v>14.850046027875127</v>
      </c>
      <c r="I81" s="189"/>
      <c r="J81" s="190" t="s">
        <v>76</v>
      </c>
      <c r="K81" s="191" t="s">
        <v>312</v>
      </c>
      <c r="L81" s="428">
        <v>4.9679487179487172</v>
      </c>
      <c r="M81" s="189"/>
      <c r="N81" s="192"/>
      <c r="O81" s="192"/>
      <c r="P81" s="429"/>
      <c r="Q81" s="564"/>
      <c r="R81" s="564"/>
      <c r="S81" s="567"/>
      <c r="T81" s="189"/>
      <c r="U81" s="260">
        <f t="shared" si="2"/>
        <v>19.817994745823846</v>
      </c>
      <c r="V81" s="570">
        <v>2</v>
      </c>
      <c r="W81" s="412">
        <f>'App 3-Recycling Rate'!S82</f>
        <v>0.23511356660527932</v>
      </c>
    </row>
    <row r="82" spans="1:23" x14ac:dyDescent="0.2">
      <c r="A82" s="376">
        <v>15560</v>
      </c>
      <c r="B82" s="376" t="s">
        <v>195</v>
      </c>
      <c r="C82" s="376" t="s">
        <v>705</v>
      </c>
      <c r="D82" s="404" t="s">
        <v>2</v>
      </c>
      <c r="E82" s="189"/>
      <c r="F82" s="193" t="s">
        <v>76</v>
      </c>
      <c r="G82" s="194" t="s">
        <v>74</v>
      </c>
      <c r="H82" s="425">
        <v>10.36617492096944</v>
      </c>
      <c r="I82" s="189"/>
      <c r="J82" s="190" t="s">
        <v>76</v>
      </c>
      <c r="K82" s="191" t="s">
        <v>312</v>
      </c>
      <c r="L82" s="428">
        <v>11.658653846153847</v>
      </c>
      <c r="M82" s="189"/>
      <c r="N82" s="192"/>
      <c r="O82" s="192"/>
      <c r="P82" s="429"/>
      <c r="Q82" s="564"/>
      <c r="R82" s="564"/>
      <c r="S82" s="567"/>
      <c r="T82" s="189"/>
      <c r="U82" s="260">
        <f t="shared" si="2"/>
        <v>22.024828767123289</v>
      </c>
      <c r="V82" s="570">
        <v>2</v>
      </c>
      <c r="W82" s="412">
        <f>'App 3-Recycling Rate'!S83</f>
        <v>0.35770440251572327</v>
      </c>
    </row>
    <row r="83" spans="1:23" x14ac:dyDescent="0.2">
      <c r="A83" s="376">
        <v>15650</v>
      </c>
      <c r="B83" s="376" t="s">
        <v>216</v>
      </c>
      <c r="C83" s="376" t="s">
        <v>163</v>
      </c>
      <c r="D83" s="404" t="s">
        <v>5</v>
      </c>
      <c r="E83" s="189"/>
      <c r="F83" s="193" t="s">
        <v>73</v>
      </c>
      <c r="G83" s="194" t="s">
        <v>74</v>
      </c>
      <c r="H83" s="425">
        <v>9.6785398509536442</v>
      </c>
      <c r="I83" s="189"/>
      <c r="J83" s="190" t="s">
        <v>76</v>
      </c>
      <c r="K83" s="191" t="s">
        <v>312</v>
      </c>
      <c r="L83" s="428">
        <v>3.7128715765839511</v>
      </c>
      <c r="M83" s="189"/>
      <c r="N83" s="192" t="s">
        <v>76</v>
      </c>
      <c r="O83" s="192" t="s">
        <v>312</v>
      </c>
      <c r="P83" s="429">
        <v>5.569417295874695</v>
      </c>
      <c r="Q83" s="564"/>
      <c r="R83" s="564"/>
      <c r="S83" s="567"/>
      <c r="T83" s="189"/>
      <c r="U83" s="260">
        <f t="shared" si="2"/>
        <v>18.960828723412291</v>
      </c>
      <c r="V83" s="570">
        <v>3</v>
      </c>
      <c r="W83" s="412">
        <f>'App 3-Recycling Rate'!S84</f>
        <v>0.28075813498096369</v>
      </c>
    </row>
    <row r="84" spans="1:23" x14ac:dyDescent="0.2">
      <c r="A84" s="376">
        <v>15700</v>
      </c>
      <c r="B84" s="376" t="s">
        <v>217</v>
      </c>
      <c r="C84" s="376" t="s">
        <v>294</v>
      </c>
      <c r="D84" s="404" t="s">
        <v>5</v>
      </c>
      <c r="E84" s="189"/>
      <c r="F84" s="193" t="s">
        <v>76</v>
      </c>
      <c r="G84" s="194" t="s">
        <v>312</v>
      </c>
      <c r="H84" s="425">
        <v>5.548549810844893</v>
      </c>
      <c r="I84" s="189"/>
      <c r="J84" s="190" t="s">
        <v>76</v>
      </c>
      <c r="K84" s="191" t="s">
        <v>312</v>
      </c>
      <c r="L84" s="428">
        <v>5.3739218158890294</v>
      </c>
      <c r="M84" s="189"/>
      <c r="N84" s="192"/>
      <c r="O84" s="192"/>
      <c r="P84" s="429"/>
      <c r="Q84" s="564" t="s">
        <v>76</v>
      </c>
      <c r="R84" s="564" t="s">
        <v>74</v>
      </c>
      <c r="S84" s="567">
        <v>6.7830517023959649</v>
      </c>
      <c r="T84" s="189"/>
      <c r="U84" s="260">
        <f t="shared" si="2"/>
        <v>17.705523329129889</v>
      </c>
      <c r="V84" s="570">
        <v>4</v>
      </c>
      <c r="W84" s="412">
        <f>'App 3-Recycling Rate'!S85</f>
        <v>0.66315552564865665</v>
      </c>
    </row>
    <row r="85" spans="1:23" x14ac:dyDescent="0.2">
      <c r="A85" s="376">
        <v>15750</v>
      </c>
      <c r="B85" s="376" t="s">
        <v>218</v>
      </c>
      <c r="C85" s="376" t="s">
        <v>125</v>
      </c>
      <c r="D85" s="404" t="s">
        <v>2</v>
      </c>
      <c r="E85" s="189"/>
      <c r="F85" s="193" t="s">
        <v>73</v>
      </c>
      <c r="G85" s="194" t="s">
        <v>74</v>
      </c>
      <c r="H85" s="425">
        <v>6.6527580439200733</v>
      </c>
      <c r="I85" s="189"/>
      <c r="J85" s="190" t="s">
        <v>76</v>
      </c>
      <c r="K85" s="191" t="s">
        <v>312</v>
      </c>
      <c r="L85" s="428">
        <v>2.6664854580048925</v>
      </c>
      <c r="M85" s="189"/>
      <c r="N85" s="192"/>
      <c r="O85" s="192"/>
      <c r="P85" s="429"/>
      <c r="Q85" s="564" t="s">
        <v>76</v>
      </c>
      <c r="R85" s="564" t="s">
        <v>312</v>
      </c>
      <c r="S85" s="567">
        <v>2.8656643684799481</v>
      </c>
      <c r="T85" s="189"/>
      <c r="U85" s="260">
        <f t="shared" si="2"/>
        <v>12.184907870404913</v>
      </c>
      <c r="V85" s="570">
        <v>4</v>
      </c>
      <c r="W85" s="412">
        <f>'App 3-Recycling Rate'!S86</f>
        <v>0.34907625705276324</v>
      </c>
    </row>
    <row r="86" spans="1:23" x14ac:dyDescent="0.2">
      <c r="A86" s="376">
        <v>15800</v>
      </c>
      <c r="B86" s="376" t="s">
        <v>219</v>
      </c>
      <c r="C86" s="376" t="s">
        <v>705</v>
      </c>
      <c r="D86" s="404" t="s">
        <v>2</v>
      </c>
      <c r="E86" s="189"/>
      <c r="F86" s="193" t="s">
        <v>76</v>
      </c>
      <c r="G86" s="194" t="s">
        <v>74</v>
      </c>
      <c r="H86" s="425">
        <v>6.6269470601600569</v>
      </c>
      <c r="I86" s="189"/>
      <c r="J86" s="190" t="s">
        <v>76</v>
      </c>
      <c r="K86" s="191" t="s">
        <v>312</v>
      </c>
      <c r="L86" s="428">
        <v>7.3920644572818484</v>
      </c>
      <c r="M86" s="189"/>
      <c r="N86" s="192"/>
      <c r="O86" s="192"/>
      <c r="P86" s="429"/>
      <c r="Q86" s="564"/>
      <c r="R86" s="564"/>
      <c r="S86" s="567"/>
      <c r="T86" s="189"/>
      <c r="U86" s="260">
        <f t="shared" si="2"/>
        <v>14.019011517441905</v>
      </c>
      <c r="V86" s="570">
        <v>2</v>
      </c>
      <c r="W86" s="412">
        <f>'App 3-Recycling Rate'!S87</f>
        <v>0.25908269631688674</v>
      </c>
    </row>
    <row r="87" spans="1:23" x14ac:dyDescent="0.2">
      <c r="A87" s="376">
        <v>15850</v>
      </c>
      <c r="B87" s="376" t="s">
        <v>220</v>
      </c>
      <c r="C87" s="376" t="s">
        <v>293</v>
      </c>
      <c r="D87" s="404" t="s">
        <v>2</v>
      </c>
      <c r="E87" s="189"/>
      <c r="F87" s="193" t="s">
        <v>76</v>
      </c>
      <c r="G87" s="194" t="s">
        <v>74</v>
      </c>
      <c r="H87" s="425">
        <v>18.991712707182323</v>
      </c>
      <c r="I87" s="189"/>
      <c r="J87" s="190" t="s">
        <v>76</v>
      </c>
      <c r="K87" s="191" t="s">
        <v>312</v>
      </c>
      <c r="L87" s="428">
        <v>5.33093066035965</v>
      </c>
      <c r="M87" s="189"/>
      <c r="N87" s="192"/>
      <c r="O87" s="192"/>
      <c r="P87" s="429"/>
      <c r="Q87" s="564"/>
      <c r="R87" s="564"/>
      <c r="S87" s="567"/>
      <c r="T87" s="189"/>
      <c r="U87" s="260">
        <f t="shared" si="2"/>
        <v>24.322643367541971</v>
      </c>
      <c r="V87" s="570">
        <v>2</v>
      </c>
      <c r="W87" s="412">
        <f>'App 3-Recycling Rate'!S88</f>
        <v>0.31651234567901232</v>
      </c>
    </row>
    <row r="88" spans="1:23" x14ac:dyDescent="0.2">
      <c r="A88" s="376">
        <v>15900</v>
      </c>
      <c r="B88" s="376" t="s">
        <v>221</v>
      </c>
      <c r="C88" s="376" t="s">
        <v>163</v>
      </c>
      <c r="D88" s="404" t="s">
        <v>3</v>
      </c>
      <c r="E88" s="189"/>
      <c r="F88" s="193" t="s">
        <v>73</v>
      </c>
      <c r="G88" s="194" t="s">
        <v>74</v>
      </c>
      <c r="H88" s="425">
        <v>11.14521214217258</v>
      </c>
      <c r="I88" s="189"/>
      <c r="J88" s="190" t="s">
        <v>76</v>
      </c>
      <c r="K88" s="191" t="s">
        <v>312</v>
      </c>
      <c r="L88" s="428">
        <v>5.0079094366459609</v>
      </c>
      <c r="M88" s="189"/>
      <c r="N88" s="192" t="s">
        <v>76</v>
      </c>
      <c r="O88" s="192" t="s">
        <v>312</v>
      </c>
      <c r="P88" s="429">
        <v>4.2916981305885082</v>
      </c>
      <c r="Q88" s="564"/>
      <c r="R88" s="564"/>
      <c r="S88" s="567"/>
      <c r="T88" s="189"/>
      <c r="U88" s="260">
        <f t="shared" si="2"/>
        <v>20.444819709407049</v>
      </c>
      <c r="V88" s="570">
        <v>3</v>
      </c>
      <c r="W88" s="412">
        <f>'App 3-Recycling Rate'!S89</f>
        <v>0.40200368111979584</v>
      </c>
    </row>
    <row r="89" spans="1:23" x14ac:dyDescent="0.2">
      <c r="A89" s="376">
        <v>15950</v>
      </c>
      <c r="B89" s="376" t="s">
        <v>222</v>
      </c>
      <c r="C89" s="376" t="s">
        <v>190</v>
      </c>
      <c r="D89" s="404" t="s">
        <v>4</v>
      </c>
      <c r="E89" s="189"/>
      <c r="F89" s="193" t="s">
        <v>78</v>
      </c>
      <c r="G89" s="194" t="s">
        <v>74</v>
      </c>
      <c r="H89" s="425">
        <v>7.1485089920764517</v>
      </c>
      <c r="I89" s="189"/>
      <c r="J89" s="190">
        <v>140</v>
      </c>
      <c r="K89" s="191" t="s">
        <v>74</v>
      </c>
      <c r="L89" s="428">
        <v>3.3577767172563422</v>
      </c>
      <c r="M89" s="189"/>
      <c r="N89" s="192"/>
      <c r="O89" s="192"/>
      <c r="P89" s="429"/>
      <c r="Q89" s="564"/>
      <c r="R89" s="564"/>
      <c r="S89" s="567"/>
      <c r="T89" s="189"/>
      <c r="U89" s="260">
        <f t="shared" si="2"/>
        <v>10.506285709332793</v>
      </c>
      <c r="V89" s="570">
        <v>2</v>
      </c>
      <c r="W89" s="412">
        <f>'App 3-Recycling Rate'!S90</f>
        <v>0.64276840437386806</v>
      </c>
    </row>
    <row r="90" spans="1:23" x14ac:dyDescent="0.2">
      <c r="A90" s="376">
        <v>15990</v>
      </c>
      <c r="B90" s="376" t="s">
        <v>211</v>
      </c>
      <c r="C90" s="376"/>
      <c r="D90" s="404" t="s">
        <v>4</v>
      </c>
      <c r="E90" s="189"/>
      <c r="F90" s="193" t="s">
        <v>77</v>
      </c>
      <c r="G90" s="194" t="s">
        <v>74</v>
      </c>
      <c r="H90" s="425">
        <v>9.7437591887600661</v>
      </c>
      <c r="I90" s="189"/>
      <c r="J90" s="190" t="s">
        <v>114</v>
      </c>
      <c r="K90" s="191" t="s">
        <v>312</v>
      </c>
      <c r="L90" s="428">
        <v>6.0879974773650316</v>
      </c>
      <c r="M90" s="189"/>
      <c r="N90" s="192" t="s">
        <v>76</v>
      </c>
      <c r="O90" s="192" t="s">
        <v>312</v>
      </c>
      <c r="P90" s="429">
        <v>5.1261852409725464</v>
      </c>
      <c r="Q90" s="564"/>
      <c r="R90" s="564"/>
      <c r="S90" s="567"/>
      <c r="T90" s="189"/>
      <c r="U90" s="260">
        <f t="shared" si="2"/>
        <v>20.957941907097645</v>
      </c>
      <c r="V90" s="570">
        <v>3</v>
      </c>
      <c r="W90" s="412">
        <f>'App 3-Recycling Rate'!S91</f>
        <v>0.48264968333806796</v>
      </c>
    </row>
    <row r="91" spans="1:23" x14ac:dyDescent="0.2">
      <c r="A91" s="376">
        <v>16100</v>
      </c>
      <c r="B91" s="376" t="s">
        <v>223</v>
      </c>
      <c r="C91" s="376" t="s">
        <v>293</v>
      </c>
      <c r="D91" s="404" t="s">
        <v>2</v>
      </c>
      <c r="E91" s="189"/>
      <c r="F91" s="193" t="s">
        <v>76</v>
      </c>
      <c r="G91" s="194" t="s">
        <v>74</v>
      </c>
      <c r="H91" s="425">
        <v>18.723601689491872</v>
      </c>
      <c r="I91" s="189"/>
      <c r="J91" s="190"/>
      <c r="K91" s="191"/>
      <c r="L91" s="428"/>
      <c r="M91" s="189"/>
      <c r="N91" s="192"/>
      <c r="O91" s="192"/>
      <c r="P91" s="429"/>
      <c r="Q91" s="564"/>
      <c r="R91" s="564"/>
      <c r="S91" s="567"/>
      <c r="T91" s="189"/>
      <c r="U91" s="260">
        <f t="shared" si="2"/>
        <v>18.723601689491872</v>
      </c>
      <c r="V91" s="570">
        <v>1</v>
      </c>
      <c r="W91" s="412">
        <f>'App 3-Recycling Rate'!S92</f>
        <v>0.30048580283105786</v>
      </c>
    </row>
    <row r="92" spans="1:23" x14ac:dyDescent="0.2">
      <c r="A92" s="376">
        <v>16150</v>
      </c>
      <c r="B92" s="376" t="s">
        <v>224</v>
      </c>
      <c r="C92" s="376" t="s">
        <v>293</v>
      </c>
      <c r="D92" s="404" t="s">
        <v>2</v>
      </c>
      <c r="E92" s="189"/>
      <c r="F92" s="193" t="s">
        <v>76</v>
      </c>
      <c r="G92" s="194" t="s">
        <v>74</v>
      </c>
      <c r="H92" s="425">
        <v>11.472319607708348</v>
      </c>
      <c r="I92" s="189"/>
      <c r="J92" s="190" t="s">
        <v>76</v>
      </c>
      <c r="K92" s="191" t="s">
        <v>312</v>
      </c>
      <c r="L92" s="428">
        <v>3.9486734783068731</v>
      </c>
      <c r="M92" s="189"/>
      <c r="N92" s="192"/>
      <c r="O92" s="192"/>
      <c r="P92" s="429"/>
      <c r="Q92" s="564" t="s">
        <v>76</v>
      </c>
      <c r="R92" s="564" t="s">
        <v>74</v>
      </c>
      <c r="S92" s="567">
        <v>6.0051597633136096</v>
      </c>
      <c r="T92" s="189"/>
      <c r="U92" s="260">
        <f t="shared" si="2"/>
        <v>21.42615284932883</v>
      </c>
      <c r="V92" s="570">
        <v>4</v>
      </c>
      <c r="W92" s="412">
        <f>'App 3-Recycling Rate'!S93</f>
        <v>0.59435980364820162</v>
      </c>
    </row>
    <row r="93" spans="1:23" x14ac:dyDescent="0.2">
      <c r="A93" s="376">
        <v>16200</v>
      </c>
      <c r="B93" s="376" t="s">
        <v>226</v>
      </c>
      <c r="C93" s="376" t="s">
        <v>293</v>
      </c>
      <c r="D93" s="404" t="s">
        <v>2</v>
      </c>
      <c r="E93" s="189"/>
      <c r="F93" s="193" t="s">
        <v>315</v>
      </c>
      <c r="G93" s="194" t="s">
        <v>312</v>
      </c>
      <c r="H93" s="425">
        <v>8.3452826988605704</v>
      </c>
      <c r="I93" s="189"/>
      <c r="J93" s="190" t="s">
        <v>76</v>
      </c>
      <c r="K93" s="191" t="s">
        <v>312</v>
      </c>
      <c r="L93" s="428">
        <v>3.7736096335013958</v>
      </c>
      <c r="M93" s="189"/>
      <c r="N93" s="192"/>
      <c r="O93" s="192"/>
      <c r="P93" s="429"/>
      <c r="Q93" s="564"/>
      <c r="R93" s="564"/>
      <c r="S93" s="567"/>
      <c r="T93" s="189"/>
      <c r="U93" s="260">
        <f t="shared" si="2"/>
        <v>12.118892332361966</v>
      </c>
      <c r="V93" s="570">
        <v>2</v>
      </c>
      <c r="W93" s="412">
        <f>'App 3-Recycling Rate'!S94</f>
        <v>0.30527248422296144</v>
      </c>
    </row>
    <row r="94" spans="1:23" x14ac:dyDescent="0.2">
      <c r="A94" s="376">
        <v>16260</v>
      </c>
      <c r="B94" s="376" t="s">
        <v>227</v>
      </c>
      <c r="C94" s="376" t="s">
        <v>129</v>
      </c>
      <c r="D94" s="404" t="s">
        <v>4</v>
      </c>
      <c r="E94" s="189"/>
      <c r="F94" s="193" t="s">
        <v>73</v>
      </c>
      <c r="G94" s="194" t="s">
        <v>74</v>
      </c>
      <c r="H94" s="425">
        <v>12.083998091460778</v>
      </c>
      <c r="I94" s="189"/>
      <c r="J94" s="190" t="s">
        <v>76</v>
      </c>
      <c r="K94" s="191" t="s">
        <v>312</v>
      </c>
      <c r="L94" s="428">
        <v>4.2060108956520876</v>
      </c>
      <c r="M94" s="189"/>
      <c r="N94" s="192" t="s">
        <v>76</v>
      </c>
      <c r="O94" s="192" t="s">
        <v>312</v>
      </c>
      <c r="P94" s="429">
        <v>5.8197406075400373</v>
      </c>
      <c r="Q94" s="564"/>
      <c r="R94" s="564"/>
      <c r="S94" s="567"/>
      <c r="T94" s="189"/>
      <c r="U94" s="260">
        <f t="shared" si="2"/>
        <v>22.109749594652904</v>
      </c>
      <c r="V94" s="570">
        <v>3</v>
      </c>
      <c r="W94" s="412">
        <f>'App 3-Recycling Rate'!S95</f>
        <v>0.69250150615967865</v>
      </c>
    </row>
    <row r="95" spans="1:23" x14ac:dyDescent="0.2">
      <c r="A95" s="376">
        <v>16350</v>
      </c>
      <c r="B95" s="376" t="s">
        <v>228</v>
      </c>
      <c r="C95" s="376" t="s">
        <v>129</v>
      </c>
      <c r="D95" s="404" t="s">
        <v>4</v>
      </c>
      <c r="E95" s="189"/>
      <c r="F95" s="193" t="s">
        <v>73</v>
      </c>
      <c r="G95" s="194" t="s">
        <v>312</v>
      </c>
      <c r="H95" s="425">
        <v>8.6941326687784546</v>
      </c>
      <c r="I95" s="189"/>
      <c r="J95" s="190" t="s">
        <v>76</v>
      </c>
      <c r="K95" s="191" t="s">
        <v>312</v>
      </c>
      <c r="L95" s="428">
        <v>5.2858457034445099</v>
      </c>
      <c r="M95" s="189"/>
      <c r="N95" s="192"/>
      <c r="O95" s="192"/>
      <c r="P95" s="429"/>
      <c r="Q95" s="564" t="s">
        <v>76</v>
      </c>
      <c r="R95" s="565" t="s">
        <v>74</v>
      </c>
      <c r="S95" s="567">
        <v>10.538214902304677</v>
      </c>
      <c r="T95" s="189"/>
      <c r="U95" s="260">
        <f t="shared" si="2"/>
        <v>24.51819327452764</v>
      </c>
      <c r="V95" s="570">
        <v>4</v>
      </c>
      <c r="W95" s="412">
        <f>'App 3-Recycling Rate'!S96</f>
        <v>0.5935693684800003</v>
      </c>
    </row>
    <row r="96" spans="1:23" x14ac:dyDescent="0.2">
      <c r="A96" s="376">
        <v>16380</v>
      </c>
      <c r="B96" s="376" t="s">
        <v>187</v>
      </c>
      <c r="C96" s="376" t="s">
        <v>294</v>
      </c>
      <c r="D96" s="404" t="s">
        <v>5</v>
      </c>
      <c r="E96" s="189"/>
      <c r="F96" s="193" t="s">
        <v>76</v>
      </c>
      <c r="G96" s="194" t="s">
        <v>312</v>
      </c>
      <c r="H96" s="425">
        <v>6.8954403582575656</v>
      </c>
      <c r="I96" s="189"/>
      <c r="J96" s="190" t="s">
        <v>76</v>
      </c>
      <c r="K96" s="191" t="s">
        <v>312</v>
      </c>
      <c r="L96" s="428">
        <v>5.6615589096067582</v>
      </c>
      <c r="M96" s="189"/>
      <c r="N96" s="192"/>
      <c r="O96" s="192"/>
      <c r="P96" s="429"/>
      <c r="Q96" s="564" t="s">
        <v>76</v>
      </c>
      <c r="R96" s="564" t="s">
        <v>74</v>
      </c>
      <c r="S96" s="567">
        <v>8.6467520381293603</v>
      </c>
      <c r="T96" s="189"/>
      <c r="U96" s="260">
        <f t="shared" si="2"/>
        <v>21.203751305993684</v>
      </c>
      <c r="V96" s="570">
        <v>4</v>
      </c>
      <c r="W96" s="412">
        <f>'App 3-Recycling Rate'!S97</f>
        <v>0.557674928106901</v>
      </c>
    </row>
    <row r="97" spans="1:23" x14ac:dyDescent="0.2">
      <c r="A97" s="376">
        <v>16400</v>
      </c>
      <c r="B97" s="376" t="s">
        <v>229</v>
      </c>
      <c r="C97" s="376" t="s">
        <v>163</v>
      </c>
      <c r="D97" s="404" t="s">
        <v>3</v>
      </c>
      <c r="E97" s="189"/>
      <c r="F97" s="193" t="s">
        <v>76</v>
      </c>
      <c r="G97" s="194" t="s">
        <v>74</v>
      </c>
      <c r="H97" s="425">
        <v>15.438441965159523</v>
      </c>
      <c r="I97" s="189"/>
      <c r="J97" s="190" t="s">
        <v>76</v>
      </c>
      <c r="K97" s="191" t="s">
        <v>312</v>
      </c>
      <c r="L97" s="428">
        <v>4.1987634761072261</v>
      </c>
      <c r="M97" s="189"/>
      <c r="N97" s="192"/>
      <c r="O97" s="192"/>
      <c r="P97" s="429"/>
      <c r="Q97" s="564"/>
      <c r="R97" s="564"/>
      <c r="S97" s="567"/>
      <c r="T97" s="189"/>
      <c r="U97" s="260">
        <f t="shared" si="2"/>
        <v>19.637205441266751</v>
      </c>
      <c r="V97" s="570">
        <v>2</v>
      </c>
      <c r="W97" s="412">
        <f>'App 3-Recycling Rate'!S98</f>
        <v>0.57354352972047562</v>
      </c>
    </row>
    <row r="98" spans="1:23" x14ac:dyDescent="0.2">
      <c r="A98" s="376">
        <v>16490</v>
      </c>
      <c r="B98" s="376" t="s">
        <v>225</v>
      </c>
      <c r="C98" s="376" t="s">
        <v>704</v>
      </c>
      <c r="D98" s="404" t="s">
        <v>2</v>
      </c>
      <c r="E98" s="189"/>
      <c r="F98" s="193" t="s">
        <v>73</v>
      </c>
      <c r="G98" s="194" t="s">
        <v>74</v>
      </c>
      <c r="H98" s="425">
        <v>9.1670370890261399</v>
      </c>
      <c r="I98" s="189"/>
      <c r="J98" s="190" t="s">
        <v>76</v>
      </c>
      <c r="K98" s="191" t="s">
        <v>312</v>
      </c>
      <c r="L98" s="428">
        <v>2.9576885871510217</v>
      </c>
      <c r="M98" s="189"/>
      <c r="N98" s="192" t="s">
        <v>76</v>
      </c>
      <c r="O98" s="192" t="s">
        <v>312</v>
      </c>
      <c r="P98" s="429">
        <v>3.7394311431738836</v>
      </c>
      <c r="Q98" s="564" t="s">
        <v>76</v>
      </c>
      <c r="R98" s="564" t="s">
        <v>312</v>
      </c>
      <c r="S98" s="567">
        <v>4.2918236902386759</v>
      </c>
      <c r="T98" s="189"/>
      <c r="U98" s="260">
        <f t="shared" si="2"/>
        <v>20.155980509589721</v>
      </c>
      <c r="V98" s="571">
        <v>5</v>
      </c>
      <c r="W98" s="412">
        <f>'App 3-Recycling Rate'!S99</f>
        <v>0.43488710135107744</v>
      </c>
    </row>
    <row r="99" spans="1:23" x14ac:dyDescent="0.2">
      <c r="A99" s="376">
        <v>16550</v>
      </c>
      <c r="B99" s="376" t="s">
        <v>230</v>
      </c>
      <c r="C99" s="376" t="s">
        <v>127</v>
      </c>
      <c r="D99" s="404" t="s">
        <v>4</v>
      </c>
      <c r="E99" s="195"/>
      <c r="F99" s="193" t="s">
        <v>73</v>
      </c>
      <c r="G99" s="194" t="s">
        <v>74</v>
      </c>
      <c r="H99" s="425">
        <v>12.940335123563791</v>
      </c>
      <c r="I99" s="195"/>
      <c r="J99" s="190" t="s">
        <v>76</v>
      </c>
      <c r="K99" s="191" t="s">
        <v>312</v>
      </c>
      <c r="L99" s="428">
        <v>5.2099662504841113</v>
      </c>
      <c r="M99" s="195"/>
      <c r="N99" s="192" t="s">
        <v>76</v>
      </c>
      <c r="O99" s="192" t="s">
        <v>312</v>
      </c>
      <c r="P99" s="429">
        <v>4.4187245267953479</v>
      </c>
      <c r="Q99" s="564"/>
      <c r="R99" s="564"/>
      <c r="S99" s="567"/>
      <c r="T99" s="189"/>
      <c r="U99" s="260">
        <f t="shared" si="2"/>
        <v>22.569025900843251</v>
      </c>
      <c r="V99" s="570">
        <v>3</v>
      </c>
      <c r="W99" s="412">
        <f>'App 3-Recycling Rate'!S100</f>
        <v>0.57085762891651504</v>
      </c>
    </row>
    <row r="100" spans="1:23" x14ac:dyDescent="0.2">
      <c r="A100" s="376">
        <v>16610</v>
      </c>
      <c r="B100" s="376" t="s">
        <v>231</v>
      </c>
      <c r="C100" s="376" t="s">
        <v>131</v>
      </c>
      <c r="D100" s="404" t="s">
        <v>5</v>
      </c>
      <c r="E100" s="189"/>
      <c r="F100" s="193" t="s">
        <v>76</v>
      </c>
      <c r="G100" s="194" t="s">
        <v>312</v>
      </c>
      <c r="H100" s="425">
        <v>8.3939952431452909</v>
      </c>
      <c r="I100" s="189"/>
      <c r="J100" s="190" t="s">
        <v>76</v>
      </c>
      <c r="K100" s="191" t="s">
        <v>312</v>
      </c>
      <c r="L100" s="428">
        <v>4.9521929554006539</v>
      </c>
      <c r="M100" s="189"/>
      <c r="N100" s="192"/>
      <c r="O100" s="192"/>
      <c r="P100" s="429"/>
      <c r="Q100" s="564" t="s">
        <v>76</v>
      </c>
      <c r="R100" s="564" t="s">
        <v>74</v>
      </c>
      <c r="S100" s="567">
        <v>7.9473440156628365</v>
      </c>
      <c r="T100" s="189"/>
      <c r="U100" s="260">
        <f t="shared" si="2"/>
        <v>21.293532214208781</v>
      </c>
      <c r="V100" s="570">
        <v>4</v>
      </c>
      <c r="W100" s="412">
        <f>'App 3-Recycling Rate'!S101</f>
        <v>0.59844683128949638</v>
      </c>
    </row>
    <row r="101" spans="1:23" x14ac:dyDescent="0.2">
      <c r="A101" s="376">
        <v>16700</v>
      </c>
      <c r="B101" s="376" t="s">
        <v>232</v>
      </c>
      <c r="C101" s="376" t="s">
        <v>190</v>
      </c>
      <c r="D101" s="404" t="s">
        <v>4</v>
      </c>
      <c r="E101" s="189"/>
      <c r="F101" s="193" t="s">
        <v>73</v>
      </c>
      <c r="G101" s="194" t="s">
        <v>74</v>
      </c>
      <c r="H101" s="425">
        <v>13.68540763874881</v>
      </c>
      <c r="I101" s="189"/>
      <c r="J101" s="190" t="s">
        <v>76</v>
      </c>
      <c r="K101" s="191" t="s">
        <v>312</v>
      </c>
      <c r="L101" s="428">
        <v>5.042697539406622</v>
      </c>
      <c r="M101" s="189"/>
      <c r="N101" s="192" t="s">
        <v>76</v>
      </c>
      <c r="O101" s="192" t="s">
        <v>312</v>
      </c>
      <c r="P101" s="429">
        <v>6.3237911868347441</v>
      </c>
      <c r="Q101" s="564"/>
      <c r="R101" s="564"/>
      <c r="S101" s="567"/>
      <c r="T101" s="189"/>
      <c r="U101" s="260">
        <f t="shared" ref="U101:U132" si="3">H101+L101+P101+S101</f>
        <v>25.051896364990174</v>
      </c>
      <c r="V101" s="570">
        <v>3</v>
      </c>
      <c r="W101" s="412">
        <f>'App 3-Recycling Rate'!S102</f>
        <v>0.40380352396294367</v>
      </c>
    </row>
    <row r="102" spans="1:23" x14ac:dyDescent="0.2">
      <c r="A102" s="376">
        <v>16900</v>
      </c>
      <c r="B102" s="376" t="s">
        <v>233</v>
      </c>
      <c r="C102" s="376" t="s">
        <v>291</v>
      </c>
      <c r="D102" s="404" t="s">
        <v>3</v>
      </c>
      <c r="E102" s="189"/>
      <c r="F102" s="193" t="s">
        <v>76</v>
      </c>
      <c r="G102" s="194" t="s">
        <v>312</v>
      </c>
      <c r="H102" s="425">
        <v>9.3078200819538175</v>
      </c>
      <c r="I102" s="189"/>
      <c r="J102" s="190" t="s">
        <v>76</v>
      </c>
      <c r="K102" s="191" t="s">
        <v>312</v>
      </c>
      <c r="L102" s="428">
        <v>5.108239162680424</v>
      </c>
      <c r="M102" s="189"/>
      <c r="N102" s="192"/>
      <c r="O102" s="192"/>
      <c r="P102" s="429"/>
      <c r="Q102" s="564" t="s">
        <v>76</v>
      </c>
      <c r="R102" s="564" t="s">
        <v>74</v>
      </c>
      <c r="S102" s="567">
        <v>9.1384296018036313</v>
      </c>
      <c r="T102" s="189"/>
      <c r="U102" s="260">
        <f t="shared" si="3"/>
        <v>23.55448884643787</v>
      </c>
      <c r="V102" s="570">
        <v>4</v>
      </c>
      <c r="W102" s="412">
        <f>'App 3-Recycling Rate'!S103</f>
        <v>0.48777536860456622</v>
      </c>
    </row>
    <row r="103" spans="1:23" x14ac:dyDescent="0.2">
      <c r="A103" s="376">
        <v>16950</v>
      </c>
      <c r="B103" s="376" t="s">
        <v>234</v>
      </c>
      <c r="C103" s="376" t="s">
        <v>291</v>
      </c>
      <c r="D103" s="404" t="s">
        <v>3</v>
      </c>
      <c r="E103" s="189"/>
      <c r="F103" s="193" t="s">
        <v>75</v>
      </c>
      <c r="G103" s="194" t="s">
        <v>74</v>
      </c>
      <c r="H103" s="425">
        <v>10.264384401063754</v>
      </c>
      <c r="I103" s="189"/>
      <c r="J103" s="190" t="s">
        <v>76</v>
      </c>
      <c r="K103" s="191" t="s">
        <v>312</v>
      </c>
      <c r="L103" s="428">
        <v>4.6932793111267621</v>
      </c>
      <c r="M103" s="189"/>
      <c r="N103" s="192"/>
      <c r="O103" s="192"/>
      <c r="P103" s="429"/>
      <c r="Q103" s="564"/>
      <c r="R103" s="564"/>
      <c r="S103" s="567"/>
      <c r="T103" s="189"/>
      <c r="U103" s="260">
        <f t="shared" si="3"/>
        <v>14.957663712190516</v>
      </c>
      <c r="V103" s="570">
        <v>2</v>
      </c>
      <c r="W103" s="412">
        <f>'App 3-Recycling Rate'!S104</f>
        <v>0.40677023712183152</v>
      </c>
    </row>
    <row r="104" spans="1:23" x14ac:dyDescent="0.2">
      <c r="A104" s="376">
        <v>17000</v>
      </c>
      <c r="B104" s="376" t="s">
        <v>235</v>
      </c>
      <c r="C104" s="376" t="s">
        <v>163</v>
      </c>
      <c r="D104" s="404" t="s">
        <v>5</v>
      </c>
      <c r="E104" s="189"/>
      <c r="F104" s="193" t="s">
        <v>76</v>
      </c>
      <c r="G104" s="194" t="s">
        <v>74</v>
      </c>
      <c r="H104" s="425">
        <v>13.538542707986227</v>
      </c>
      <c r="I104" s="189"/>
      <c r="J104" s="190" t="s">
        <v>76</v>
      </c>
      <c r="K104" s="191" t="s">
        <v>312</v>
      </c>
      <c r="L104" s="428">
        <v>4.4378665296862287</v>
      </c>
      <c r="M104" s="189"/>
      <c r="N104" s="192" t="s">
        <v>76</v>
      </c>
      <c r="O104" s="192" t="s">
        <v>312</v>
      </c>
      <c r="P104" s="429">
        <v>1.4728862755178544</v>
      </c>
      <c r="Q104" s="564"/>
      <c r="R104" s="564"/>
      <c r="S104" s="567"/>
      <c r="T104" s="189"/>
      <c r="U104" s="260">
        <f t="shared" si="3"/>
        <v>19.449295513190311</v>
      </c>
      <c r="V104" s="570">
        <v>3</v>
      </c>
      <c r="W104" s="412">
        <f>'App 3-Recycling Rate'!S105</f>
        <v>0.34167621975246232</v>
      </c>
    </row>
    <row r="105" spans="1:23" x14ac:dyDescent="0.2">
      <c r="A105" s="376">
        <v>17040</v>
      </c>
      <c r="B105" s="376" t="s">
        <v>147</v>
      </c>
      <c r="C105" s="376" t="s">
        <v>704</v>
      </c>
      <c r="D105" s="404" t="s">
        <v>2</v>
      </c>
      <c r="E105" s="189"/>
      <c r="F105" s="193" t="s">
        <v>76</v>
      </c>
      <c r="G105" s="194" t="s">
        <v>74</v>
      </c>
      <c r="H105" s="425">
        <v>11.391897826246066</v>
      </c>
      <c r="I105" s="189"/>
      <c r="J105" s="190" t="s">
        <v>81</v>
      </c>
      <c r="K105" s="191" t="s">
        <v>312</v>
      </c>
      <c r="L105" s="428">
        <v>2.0873897965152719</v>
      </c>
      <c r="M105" s="189"/>
      <c r="N105" s="192"/>
      <c r="O105" s="192"/>
      <c r="P105" s="429"/>
      <c r="Q105" s="564" t="s">
        <v>76</v>
      </c>
      <c r="R105" s="564" t="s">
        <v>312</v>
      </c>
      <c r="S105" s="567">
        <v>4.8229528535980144</v>
      </c>
      <c r="T105" s="189"/>
      <c r="U105" s="260">
        <f t="shared" si="3"/>
        <v>18.302240476359351</v>
      </c>
      <c r="V105" s="570">
        <v>4</v>
      </c>
      <c r="W105" s="412">
        <f>'App 3-Recycling Rate'!S106</f>
        <v>0.41621999207674637</v>
      </c>
    </row>
    <row r="106" spans="1:23" x14ac:dyDescent="0.2">
      <c r="A106" s="376">
        <v>17080</v>
      </c>
      <c r="B106" s="376" t="s">
        <v>242</v>
      </c>
      <c r="C106" s="376" t="s">
        <v>142</v>
      </c>
      <c r="D106" s="404" t="s">
        <v>2</v>
      </c>
      <c r="E106" s="189"/>
      <c r="F106" s="193" t="s">
        <v>75</v>
      </c>
      <c r="G106" s="194" t="s">
        <v>74</v>
      </c>
      <c r="H106" s="425">
        <v>11.851259360108916</v>
      </c>
      <c r="I106" s="189"/>
      <c r="J106" s="190" t="s">
        <v>76</v>
      </c>
      <c r="K106" s="191" t="s">
        <v>312</v>
      </c>
      <c r="L106" s="428">
        <v>5.8457745143197766</v>
      </c>
      <c r="M106" s="189"/>
      <c r="N106" s="192"/>
      <c r="O106" s="192"/>
      <c r="P106" s="429"/>
      <c r="Q106" s="564"/>
      <c r="R106" s="564"/>
      <c r="S106" s="567"/>
      <c r="T106" s="189"/>
      <c r="U106" s="260">
        <f t="shared" si="3"/>
        <v>17.697033874428691</v>
      </c>
      <c r="V106" s="570">
        <v>2</v>
      </c>
      <c r="W106" s="412">
        <f>'App 3-Recycling Rate'!S107</f>
        <v>0.31268841567618427</v>
      </c>
    </row>
    <row r="107" spans="1:23" x14ac:dyDescent="0.2">
      <c r="A107" s="376">
        <v>17100</v>
      </c>
      <c r="B107" s="376" t="s">
        <v>236</v>
      </c>
      <c r="C107" s="376"/>
      <c r="D107" s="404" t="s">
        <v>4</v>
      </c>
      <c r="E107" s="189"/>
      <c r="F107" s="193" t="s">
        <v>75</v>
      </c>
      <c r="G107" s="194" t="s">
        <v>74</v>
      </c>
      <c r="H107" s="425">
        <v>19.897412753104955</v>
      </c>
      <c r="I107" s="189"/>
      <c r="J107" s="190" t="s">
        <v>76</v>
      </c>
      <c r="K107" s="191" t="s">
        <v>312</v>
      </c>
      <c r="L107" s="428">
        <v>6.706261157224839</v>
      </c>
      <c r="M107" s="189"/>
      <c r="N107" s="192" t="s">
        <v>76</v>
      </c>
      <c r="O107" s="192" t="s">
        <v>312</v>
      </c>
      <c r="P107" s="429">
        <v>8.6050138406955448</v>
      </c>
      <c r="Q107" s="564"/>
      <c r="R107" s="564"/>
      <c r="S107" s="567"/>
      <c r="T107" s="189"/>
      <c r="U107" s="260">
        <f t="shared" si="3"/>
        <v>35.208687751025337</v>
      </c>
      <c r="V107" s="570">
        <v>3</v>
      </c>
      <c r="W107" s="412">
        <f>'App 3-Recycling Rate'!S108</f>
        <v>0.2920708194354299</v>
      </c>
    </row>
    <row r="108" spans="1:23" x14ac:dyDescent="0.2">
      <c r="A108" s="376">
        <v>17150</v>
      </c>
      <c r="B108" s="376" t="s">
        <v>237</v>
      </c>
      <c r="C108" s="376" t="s">
        <v>127</v>
      </c>
      <c r="D108" s="404" t="s">
        <v>4</v>
      </c>
      <c r="E108" s="189"/>
      <c r="F108" s="193" t="s">
        <v>75</v>
      </c>
      <c r="G108" s="194" t="s">
        <v>74</v>
      </c>
      <c r="H108" s="425">
        <v>9.7488136072769098</v>
      </c>
      <c r="I108" s="189"/>
      <c r="J108" s="190" t="s">
        <v>76</v>
      </c>
      <c r="K108" s="191" t="s">
        <v>312</v>
      </c>
      <c r="L108" s="428">
        <v>5.478856212692703</v>
      </c>
      <c r="M108" s="189"/>
      <c r="N108" s="192" t="s">
        <v>76</v>
      </c>
      <c r="O108" s="192" t="s">
        <v>312</v>
      </c>
      <c r="P108" s="429">
        <v>6.5869369112818923</v>
      </c>
      <c r="Q108" s="564"/>
      <c r="R108" s="564"/>
      <c r="S108" s="567"/>
      <c r="T108" s="189"/>
      <c r="U108" s="260">
        <f t="shared" si="3"/>
        <v>21.814606731251505</v>
      </c>
      <c r="V108" s="570">
        <v>3</v>
      </c>
      <c r="W108" s="412">
        <f>'App 3-Recycling Rate'!S109</f>
        <v>0.48397168433274662</v>
      </c>
    </row>
    <row r="109" spans="1:23" x14ac:dyDescent="0.2">
      <c r="A109" s="376">
        <v>17200</v>
      </c>
      <c r="B109" s="376" t="s">
        <v>238</v>
      </c>
      <c r="C109" s="376" t="s">
        <v>127</v>
      </c>
      <c r="D109" s="404" t="s">
        <v>4</v>
      </c>
      <c r="E109" s="189"/>
      <c r="F109" s="193" t="s">
        <v>76</v>
      </c>
      <c r="G109" s="194" t="s">
        <v>74</v>
      </c>
      <c r="H109" s="425">
        <v>8.1390887948542154</v>
      </c>
      <c r="I109" s="189"/>
      <c r="J109" s="190" t="s">
        <v>76</v>
      </c>
      <c r="K109" s="191" t="s">
        <v>74</v>
      </c>
      <c r="L109" s="428">
        <v>2.6496922600086843</v>
      </c>
      <c r="M109" s="189"/>
      <c r="N109" s="192" t="s">
        <v>75</v>
      </c>
      <c r="O109" s="192" t="s">
        <v>312</v>
      </c>
      <c r="P109" s="429">
        <v>2.21673625284767</v>
      </c>
      <c r="Q109" s="564"/>
      <c r="R109" s="564"/>
      <c r="S109" s="567"/>
      <c r="T109" s="189"/>
      <c r="U109" s="260">
        <f t="shared" si="3"/>
        <v>13.005517307710569</v>
      </c>
      <c r="V109" s="570">
        <v>3</v>
      </c>
      <c r="W109" s="412">
        <f>'App 3-Recycling Rate'!S110</f>
        <v>0.64242883958519259</v>
      </c>
    </row>
    <row r="110" spans="1:23" x14ac:dyDescent="0.2">
      <c r="A110" s="376">
        <v>17310</v>
      </c>
      <c r="B110" s="376" t="s">
        <v>239</v>
      </c>
      <c r="C110" s="376" t="s">
        <v>125</v>
      </c>
      <c r="D110" s="404" t="s">
        <v>2</v>
      </c>
      <c r="E110" s="189"/>
      <c r="F110" s="193" t="s">
        <v>76</v>
      </c>
      <c r="G110" s="194" t="s">
        <v>74</v>
      </c>
      <c r="H110" s="425">
        <v>10.317215914951971</v>
      </c>
      <c r="I110" s="189"/>
      <c r="J110" s="190" t="s">
        <v>76</v>
      </c>
      <c r="K110" s="191" t="s">
        <v>312</v>
      </c>
      <c r="L110" s="428">
        <v>3.9380092774792095</v>
      </c>
      <c r="M110" s="189"/>
      <c r="N110" s="192" t="s">
        <v>76</v>
      </c>
      <c r="O110" s="192" t="s">
        <v>312</v>
      </c>
      <c r="P110" s="429">
        <v>4.4783122240817645</v>
      </c>
      <c r="Q110" s="564"/>
      <c r="R110" s="564"/>
      <c r="S110" s="567"/>
      <c r="T110" s="189"/>
      <c r="U110" s="260">
        <f t="shared" si="3"/>
        <v>18.733537416512945</v>
      </c>
      <c r="V110" s="570">
        <v>3</v>
      </c>
      <c r="W110" s="412">
        <f>'App 3-Recycling Rate'!S111</f>
        <v>0.38989633571249116</v>
      </c>
    </row>
    <row r="111" spans="1:23" x14ac:dyDescent="0.2">
      <c r="A111" s="376">
        <v>17350</v>
      </c>
      <c r="B111" s="376" t="s">
        <v>240</v>
      </c>
      <c r="C111" s="376" t="s">
        <v>142</v>
      </c>
      <c r="D111" s="404" t="s">
        <v>2</v>
      </c>
      <c r="E111" s="189"/>
      <c r="F111" s="193" t="s">
        <v>76</v>
      </c>
      <c r="G111" s="194" t="s">
        <v>74</v>
      </c>
      <c r="H111" s="425">
        <v>20.210681038706518</v>
      </c>
      <c r="I111" s="189"/>
      <c r="J111" s="190"/>
      <c r="K111" s="191"/>
      <c r="L111" s="428"/>
      <c r="M111" s="189"/>
      <c r="N111" s="192"/>
      <c r="O111" s="192"/>
      <c r="P111" s="429"/>
      <c r="Q111" s="564"/>
      <c r="R111" s="564"/>
      <c r="S111" s="567"/>
      <c r="T111" s="189"/>
      <c r="U111" s="260">
        <f t="shared" si="3"/>
        <v>20.210681038706518</v>
      </c>
      <c r="V111" s="570">
        <v>1</v>
      </c>
      <c r="W111" s="412">
        <f>'App 3-Recycling Rate'!S112</f>
        <v>0.15229885057471265</v>
      </c>
    </row>
    <row r="112" spans="1:23" x14ac:dyDescent="0.2">
      <c r="A112" s="376">
        <v>17400</v>
      </c>
      <c r="B112" s="376" t="s">
        <v>241</v>
      </c>
      <c r="C112" s="376" t="s">
        <v>125</v>
      </c>
      <c r="D112" s="404" t="s">
        <v>2</v>
      </c>
      <c r="E112" s="189"/>
      <c r="F112" s="193" t="s">
        <v>75</v>
      </c>
      <c r="G112" s="194" t="s">
        <v>74</v>
      </c>
      <c r="H112" s="425">
        <v>15.372168284789645</v>
      </c>
      <c r="I112" s="189"/>
      <c r="J112" s="190" t="s">
        <v>76</v>
      </c>
      <c r="K112" s="191" t="s">
        <v>312</v>
      </c>
      <c r="L112" s="428">
        <v>5.3993317954021158</v>
      </c>
      <c r="M112" s="189"/>
      <c r="N112" s="192"/>
      <c r="O112" s="192"/>
      <c r="P112" s="429"/>
      <c r="Q112" s="564"/>
      <c r="R112" s="564"/>
      <c r="S112" s="567"/>
      <c r="T112" s="189"/>
      <c r="U112" s="260">
        <f t="shared" si="3"/>
        <v>20.77150008019176</v>
      </c>
      <c r="V112" s="570">
        <v>2</v>
      </c>
      <c r="W112" s="412">
        <f>'App 3-Recycling Rate'!S113</f>
        <v>0.22905369718309856</v>
      </c>
    </row>
    <row r="113" spans="1:23" x14ac:dyDescent="0.2">
      <c r="A113" s="376">
        <v>17420</v>
      </c>
      <c r="B113" s="376" t="s">
        <v>136</v>
      </c>
      <c r="C113" s="376" t="s">
        <v>129</v>
      </c>
      <c r="D113" s="404" t="s">
        <v>4</v>
      </c>
      <c r="E113" s="189"/>
      <c r="F113" s="193" t="s">
        <v>73</v>
      </c>
      <c r="G113" s="194" t="s">
        <v>74</v>
      </c>
      <c r="H113" s="425">
        <v>16.785005159251007</v>
      </c>
      <c r="I113" s="189"/>
      <c r="J113" s="190" t="s">
        <v>76</v>
      </c>
      <c r="K113" s="191" t="s">
        <v>312</v>
      </c>
      <c r="L113" s="428">
        <v>5.7579541557022917</v>
      </c>
      <c r="M113" s="189"/>
      <c r="N113" s="192" t="s">
        <v>76</v>
      </c>
      <c r="O113" s="192" t="s">
        <v>312</v>
      </c>
      <c r="P113" s="429">
        <v>8.5215379550609764</v>
      </c>
      <c r="Q113" s="564"/>
      <c r="R113" s="564"/>
      <c r="S113" s="567"/>
      <c r="T113" s="189"/>
      <c r="U113" s="260">
        <f t="shared" si="3"/>
        <v>31.064497270014279</v>
      </c>
      <c r="V113" s="570">
        <v>3</v>
      </c>
      <c r="W113" s="412">
        <f>'App 3-Recycling Rate'!S114</f>
        <v>0.40901243180883828</v>
      </c>
    </row>
    <row r="114" spans="1:23" x14ac:dyDescent="0.2">
      <c r="A114" s="376">
        <v>17550</v>
      </c>
      <c r="B114" s="376" t="s">
        <v>243</v>
      </c>
      <c r="C114" s="376" t="s">
        <v>131</v>
      </c>
      <c r="D114" s="404" t="s">
        <v>5</v>
      </c>
      <c r="E114" s="189"/>
      <c r="F114" s="193" t="s">
        <v>73</v>
      </c>
      <c r="G114" s="194" t="s">
        <v>312</v>
      </c>
      <c r="H114" s="425">
        <v>10.755237857187492</v>
      </c>
      <c r="I114" s="189"/>
      <c r="J114" s="190" t="s">
        <v>76</v>
      </c>
      <c r="K114" s="191" t="s">
        <v>312</v>
      </c>
      <c r="L114" s="428">
        <v>6.0443047378095116</v>
      </c>
      <c r="M114" s="189"/>
      <c r="N114" s="192" t="s">
        <v>76</v>
      </c>
      <c r="O114" s="192" t="s">
        <v>312</v>
      </c>
      <c r="P114" s="429">
        <v>6.3913775710841723</v>
      </c>
      <c r="Q114" s="564"/>
      <c r="R114" s="564"/>
      <c r="S114" s="567"/>
      <c r="T114" s="189"/>
      <c r="U114" s="260">
        <f t="shared" si="3"/>
        <v>23.190920166081177</v>
      </c>
      <c r="V114" s="570">
        <v>3</v>
      </c>
      <c r="W114" s="412">
        <f>'App 3-Recycling Rate'!S115</f>
        <v>0.4421683242942111</v>
      </c>
    </row>
    <row r="115" spans="1:23" x14ac:dyDescent="0.2">
      <c r="A115" s="376">
        <v>17620</v>
      </c>
      <c r="B115" s="376" t="s">
        <v>244</v>
      </c>
      <c r="C115" s="376" t="s">
        <v>163</v>
      </c>
      <c r="D115" s="404" t="s">
        <v>5</v>
      </c>
      <c r="E115" s="189"/>
      <c r="F115" s="193" t="s">
        <v>76</v>
      </c>
      <c r="G115" s="194" t="s">
        <v>74</v>
      </c>
      <c r="H115" s="425">
        <v>13.993070876436077</v>
      </c>
      <c r="I115" s="189"/>
      <c r="J115" s="190" t="s">
        <v>76</v>
      </c>
      <c r="K115" s="191" t="s">
        <v>312</v>
      </c>
      <c r="L115" s="428">
        <v>4.2816754097824843</v>
      </c>
      <c r="M115" s="189"/>
      <c r="N115" s="192"/>
      <c r="O115" s="192"/>
      <c r="P115" s="429"/>
      <c r="Q115" s="564"/>
      <c r="R115" s="564"/>
      <c r="S115" s="567"/>
      <c r="T115" s="189"/>
      <c r="U115" s="260">
        <f t="shared" si="3"/>
        <v>18.274746286218562</v>
      </c>
      <c r="V115" s="570">
        <v>2</v>
      </c>
      <c r="W115" s="412">
        <f>'App 3-Recycling Rate'!S116</f>
        <v>0.277979157227005</v>
      </c>
    </row>
    <row r="116" spans="1:23" x14ac:dyDescent="0.2">
      <c r="A116" s="376">
        <v>17640</v>
      </c>
      <c r="B116" s="376" t="s">
        <v>245</v>
      </c>
      <c r="C116" s="376" t="s">
        <v>704</v>
      </c>
      <c r="D116" s="404" t="s">
        <v>2</v>
      </c>
      <c r="E116" s="189"/>
      <c r="F116" s="193" t="s">
        <v>75</v>
      </c>
      <c r="G116" s="194" t="s">
        <v>74</v>
      </c>
      <c r="H116" s="425">
        <v>18.045112781954888</v>
      </c>
      <c r="I116" s="189"/>
      <c r="J116" s="190" t="s">
        <v>76</v>
      </c>
      <c r="K116" s="191" t="s">
        <v>312</v>
      </c>
      <c r="L116" s="428">
        <v>4.9064970117601696</v>
      </c>
      <c r="M116" s="189"/>
      <c r="N116" s="192"/>
      <c r="O116" s="192"/>
      <c r="P116" s="429"/>
      <c r="Q116" s="564"/>
      <c r="R116" s="564"/>
      <c r="S116" s="567"/>
      <c r="T116" s="189"/>
      <c r="U116" s="260">
        <f t="shared" si="3"/>
        <v>22.951609793715058</v>
      </c>
      <c r="V116" s="570">
        <v>2</v>
      </c>
      <c r="W116" s="412">
        <f>'App 3-Recycling Rate'!S117</f>
        <v>0.20075598488030238</v>
      </c>
    </row>
    <row r="117" spans="1:23" x14ac:dyDescent="0.2">
      <c r="A117" s="376">
        <v>17650</v>
      </c>
      <c r="B117" s="376" t="s">
        <v>246</v>
      </c>
      <c r="C117" s="376" t="s">
        <v>125</v>
      </c>
      <c r="D117" s="404" t="s">
        <v>2</v>
      </c>
      <c r="E117" s="189"/>
      <c r="F117" s="193" t="s">
        <v>73</v>
      </c>
      <c r="G117" s="194" t="s">
        <v>74</v>
      </c>
      <c r="H117" s="425">
        <v>11.932573599240268</v>
      </c>
      <c r="I117" s="189"/>
      <c r="J117" s="190" t="s">
        <v>76</v>
      </c>
      <c r="K117" s="191" t="s">
        <v>74</v>
      </c>
      <c r="L117" s="428">
        <v>4.3598058780841802</v>
      </c>
      <c r="M117" s="189"/>
      <c r="N117" s="192" t="s">
        <v>76</v>
      </c>
      <c r="O117" s="192" t="s">
        <v>313</v>
      </c>
      <c r="P117" s="429">
        <v>7.822115384615385</v>
      </c>
      <c r="Q117" s="564"/>
      <c r="R117" s="565"/>
      <c r="S117" s="567"/>
      <c r="T117" s="189"/>
      <c r="U117" s="260">
        <f t="shared" si="3"/>
        <v>24.114494861939832</v>
      </c>
      <c r="V117" s="570">
        <v>3</v>
      </c>
      <c r="W117" s="412">
        <f>'App 3-Recycling Rate'!S118</f>
        <v>0.26082140593200548</v>
      </c>
    </row>
    <row r="118" spans="1:23" x14ac:dyDescent="0.2">
      <c r="A118" s="376">
        <v>17750</v>
      </c>
      <c r="B118" s="376" t="s">
        <v>247</v>
      </c>
      <c r="C118" s="376" t="s">
        <v>142</v>
      </c>
      <c r="D118" s="404" t="s">
        <v>2</v>
      </c>
      <c r="E118" s="189"/>
      <c r="F118" s="193" t="s">
        <v>75</v>
      </c>
      <c r="G118" s="194" t="s">
        <v>74</v>
      </c>
      <c r="H118" s="425">
        <v>9.284038302999555</v>
      </c>
      <c r="I118" s="189"/>
      <c r="J118" s="190" t="s">
        <v>76</v>
      </c>
      <c r="K118" s="191" t="s">
        <v>312</v>
      </c>
      <c r="L118" s="428">
        <v>6.401051384476002</v>
      </c>
      <c r="M118" s="189"/>
      <c r="N118" s="192" t="s">
        <v>76</v>
      </c>
      <c r="O118" s="192" t="s">
        <v>312</v>
      </c>
      <c r="P118" s="429">
        <v>5.6228501107878213</v>
      </c>
      <c r="Q118" s="564"/>
      <c r="R118" s="564"/>
      <c r="S118" s="567"/>
      <c r="T118" s="189"/>
      <c r="U118" s="260">
        <f t="shared" si="3"/>
        <v>21.307939798263376</v>
      </c>
      <c r="V118" s="570">
        <v>3</v>
      </c>
      <c r="W118" s="412">
        <f>'App 3-Recycling Rate'!S119</f>
        <v>0.23260396537009526</v>
      </c>
    </row>
    <row r="119" spans="1:23" x14ac:dyDescent="0.2">
      <c r="A119" s="376">
        <v>17850</v>
      </c>
      <c r="B119" s="376" t="s">
        <v>248</v>
      </c>
      <c r="C119" s="376" t="s">
        <v>125</v>
      </c>
      <c r="D119" s="404" t="s">
        <v>2</v>
      </c>
      <c r="E119" s="189"/>
      <c r="F119" s="193" t="s">
        <v>73</v>
      </c>
      <c r="G119" s="194" t="s">
        <v>74</v>
      </c>
      <c r="H119" s="425">
        <v>9.5390843973839914</v>
      </c>
      <c r="I119" s="189"/>
      <c r="J119" s="190" t="s">
        <v>76</v>
      </c>
      <c r="K119" s="191" t="s">
        <v>312</v>
      </c>
      <c r="L119" s="428">
        <v>4.1799024187688154</v>
      </c>
      <c r="M119" s="189"/>
      <c r="N119" s="192" t="s">
        <v>76</v>
      </c>
      <c r="O119" s="192" t="s">
        <v>80</v>
      </c>
      <c r="P119" s="429">
        <v>1.8654624727499221</v>
      </c>
      <c r="Q119" s="564"/>
      <c r="R119" s="564"/>
      <c r="S119" s="567"/>
      <c r="T119" s="189"/>
      <c r="U119" s="260">
        <f t="shared" si="3"/>
        <v>15.584449288902729</v>
      </c>
      <c r="V119" s="570">
        <v>3</v>
      </c>
      <c r="W119" s="412">
        <f>'App 3-Recycling Rate'!S120</f>
        <v>0.74084887089996232</v>
      </c>
    </row>
    <row r="120" spans="1:23" x14ac:dyDescent="0.2">
      <c r="A120" s="376">
        <v>17900</v>
      </c>
      <c r="B120" s="376" t="s">
        <v>249</v>
      </c>
      <c r="C120" s="376" t="s">
        <v>293</v>
      </c>
      <c r="D120" s="404" t="s">
        <v>2</v>
      </c>
      <c r="E120" s="189"/>
      <c r="F120" s="193" t="s">
        <v>76</v>
      </c>
      <c r="G120" s="194" t="s">
        <v>74</v>
      </c>
      <c r="H120" s="425">
        <v>9.5254222937216877</v>
      </c>
      <c r="I120" s="189"/>
      <c r="J120" s="190"/>
      <c r="K120" s="191"/>
      <c r="L120" s="428"/>
      <c r="M120" s="189"/>
      <c r="N120" s="192"/>
      <c r="O120" s="192"/>
      <c r="P120" s="429"/>
      <c r="Q120" s="564"/>
      <c r="R120" s="564"/>
      <c r="S120" s="567"/>
      <c r="T120" s="189"/>
      <c r="U120" s="260">
        <f t="shared" si="3"/>
        <v>9.5254222937216877</v>
      </c>
      <c r="V120" s="570">
        <v>1</v>
      </c>
      <c r="W120" s="412">
        <f>'App 3-Recycling Rate'!S121</f>
        <v>0</v>
      </c>
    </row>
    <row r="121" spans="1:23" x14ac:dyDescent="0.2">
      <c r="A121" s="376">
        <v>17950</v>
      </c>
      <c r="B121" s="376" t="s">
        <v>250</v>
      </c>
      <c r="C121" s="376" t="s">
        <v>293</v>
      </c>
      <c r="D121" s="404" t="s">
        <v>2</v>
      </c>
      <c r="E121" s="189"/>
      <c r="F121" s="193" t="s">
        <v>76</v>
      </c>
      <c r="G121" s="194" t="s">
        <v>74</v>
      </c>
      <c r="H121" s="425">
        <v>18.749366575453532</v>
      </c>
      <c r="I121" s="189"/>
      <c r="J121" s="190"/>
      <c r="K121" s="191"/>
      <c r="L121" s="428"/>
      <c r="M121" s="189"/>
      <c r="N121" s="192"/>
      <c r="O121" s="192"/>
      <c r="P121" s="429"/>
      <c r="Q121" s="564"/>
      <c r="R121" s="564"/>
      <c r="S121" s="567"/>
      <c r="T121" s="189"/>
      <c r="U121" s="260">
        <f t="shared" si="3"/>
        <v>18.749366575453532</v>
      </c>
      <c r="V121" s="570">
        <v>1</v>
      </c>
      <c r="W121" s="412">
        <f>'App 3-Recycling Rate'!S122</f>
        <v>0.25548172757475085</v>
      </c>
    </row>
    <row r="122" spans="1:23" x14ac:dyDescent="0.2">
      <c r="A122" s="376">
        <v>18020</v>
      </c>
      <c r="B122" s="376" t="s">
        <v>251</v>
      </c>
      <c r="C122" s="376" t="s">
        <v>293</v>
      </c>
      <c r="D122" s="404" t="s">
        <v>2</v>
      </c>
      <c r="E122" s="189"/>
      <c r="F122" s="193" t="s">
        <v>76</v>
      </c>
      <c r="G122" s="194" t="s">
        <v>74</v>
      </c>
      <c r="H122" s="425">
        <v>10.008996851102115</v>
      </c>
      <c r="I122" s="189"/>
      <c r="J122" s="190" t="s">
        <v>79</v>
      </c>
      <c r="K122" s="191" t="s">
        <v>74</v>
      </c>
      <c r="L122" s="428">
        <v>5.0326135852451639</v>
      </c>
      <c r="M122" s="189"/>
      <c r="N122" s="192"/>
      <c r="O122" s="192"/>
      <c r="P122" s="429"/>
      <c r="Q122" s="564"/>
      <c r="R122" s="564"/>
      <c r="S122" s="567"/>
      <c r="T122" s="189"/>
      <c r="U122" s="260">
        <f t="shared" si="3"/>
        <v>15.041610436347279</v>
      </c>
      <c r="V122" s="570">
        <v>2</v>
      </c>
      <c r="W122" s="412">
        <f>'App 3-Recycling Rate'!S123</f>
        <v>0.32186915887850465</v>
      </c>
    </row>
    <row r="123" spans="1:23" x14ac:dyDescent="0.2">
      <c r="A123" s="376">
        <v>18050</v>
      </c>
      <c r="B123" s="376" t="s">
        <v>252</v>
      </c>
      <c r="C123" s="376" t="s">
        <v>127</v>
      </c>
      <c r="D123" s="404" t="s">
        <v>4</v>
      </c>
      <c r="E123" s="189"/>
      <c r="F123" s="193" t="s">
        <v>76</v>
      </c>
      <c r="G123" s="194" t="s">
        <v>74</v>
      </c>
      <c r="H123" s="425">
        <v>9.7324644143371621</v>
      </c>
      <c r="I123" s="189"/>
      <c r="J123" s="190" t="s">
        <v>76</v>
      </c>
      <c r="K123" s="191" t="s">
        <v>74</v>
      </c>
      <c r="L123" s="428">
        <v>4.0244251546772549</v>
      </c>
      <c r="M123" s="189"/>
      <c r="N123" s="192" t="s">
        <v>76</v>
      </c>
      <c r="O123" s="192" t="s">
        <v>312</v>
      </c>
      <c r="P123" s="429">
        <v>3.3980548910990809</v>
      </c>
      <c r="Q123" s="564"/>
      <c r="R123" s="564"/>
      <c r="S123" s="567"/>
      <c r="T123" s="189"/>
      <c r="U123" s="260">
        <f t="shared" si="3"/>
        <v>17.154944460113498</v>
      </c>
      <c r="V123" s="570">
        <v>3</v>
      </c>
      <c r="W123" s="412">
        <f>'App 3-Recycling Rate'!S124</f>
        <v>0.33023046375035686</v>
      </c>
    </row>
    <row r="124" spans="1:23" x14ac:dyDescent="0.2">
      <c r="A124" s="376">
        <v>18100</v>
      </c>
      <c r="B124" s="376" t="s">
        <v>253</v>
      </c>
      <c r="C124" s="376" t="s">
        <v>293</v>
      </c>
      <c r="D124" s="404" t="s">
        <v>2</v>
      </c>
      <c r="E124" s="189"/>
      <c r="F124" s="193" t="s">
        <v>76</v>
      </c>
      <c r="G124" s="194" t="s">
        <v>74</v>
      </c>
      <c r="H124" s="425">
        <v>10.09912417679408</v>
      </c>
      <c r="I124" s="189"/>
      <c r="J124" s="190" t="s">
        <v>76</v>
      </c>
      <c r="K124" s="191" t="s">
        <v>312</v>
      </c>
      <c r="L124" s="428">
        <v>6.4159141829044737</v>
      </c>
      <c r="M124" s="189"/>
      <c r="N124" s="192"/>
      <c r="O124" s="192"/>
      <c r="P124" s="429"/>
      <c r="Q124" s="564"/>
      <c r="R124" s="564"/>
      <c r="S124" s="567"/>
      <c r="T124" s="189"/>
      <c r="U124" s="260">
        <f t="shared" si="3"/>
        <v>16.515038359698554</v>
      </c>
      <c r="V124" s="570">
        <v>2</v>
      </c>
      <c r="W124" s="412">
        <f>'App 3-Recycling Rate'!S125</f>
        <v>0.18578976357071458</v>
      </c>
    </row>
    <row r="125" spans="1:23" x14ac:dyDescent="0.2">
      <c r="A125" s="376">
        <v>18200</v>
      </c>
      <c r="B125" s="376" t="s">
        <v>254</v>
      </c>
      <c r="C125" s="376" t="s">
        <v>703</v>
      </c>
      <c r="D125" s="404" t="s">
        <v>2</v>
      </c>
      <c r="E125" s="189"/>
      <c r="F125" s="193" t="s">
        <v>76</v>
      </c>
      <c r="G125" s="194" t="s">
        <v>74</v>
      </c>
      <c r="H125" s="425">
        <v>15.518162393162394</v>
      </c>
      <c r="I125" s="189"/>
      <c r="J125" s="190"/>
      <c r="K125" s="191"/>
      <c r="L125" s="428"/>
      <c r="M125" s="189"/>
      <c r="N125" s="192"/>
      <c r="O125" s="192"/>
      <c r="P125" s="429"/>
      <c r="Q125" s="564"/>
      <c r="R125" s="565"/>
      <c r="S125" s="567"/>
      <c r="T125" s="189"/>
      <c r="U125" s="260">
        <f t="shared" si="3"/>
        <v>15.518162393162394</v>
      </c>
      <c r="V125" s="570">
        <v>1</v>
      </c>
      <c r="W125" s="412">
        <f>'App 3-Recycling Rate'!S126</f>
        <v>0.19841574500178388</v>
      </c>
    </row>
    <row r="126" spans="1:23" x14ac:dyDescent="0.2">
      <c r="A126" s="376">
        <v>18230</v>
      </c>
      <c r="B126" s="376" t="s">
        <v>290</v>
      </c>
      <c r="C126" s="376" t="s">
        <v>293</v>
      </c>
      <c r="D126" s="404" t="s">
        <v>2</v>
      </c>
      <c r="E126" s="189"/>
      <c r="F126" s="193" t="s">
        <v>76</v>
      </c>
      <c r="G126" s="194" t="s">
        <v>74</v>
      </c>
      <c r="H126" s="425">
        <v>12.144534307331073</v>
      </c>
      <c r="I126" s="189"/>
      <c r="J126" s="190" t="s">
        <v>76</v>
      </c>
      <c r="K126" s="191" t="s">
        <v>312</v>
      </c>
      <c r="L126" s="428">
        <v>3.7126974251941642</v>
      </c>
      <c r="M126" s="189"/>
      <c r="N126" s="192"/>
      <c r="O126" s="192"/>
      <c r="P126" s="429"/>
      <c r="Q126" s="564"/>
      <c r="R126" s="564"/>
      <c r="S126" s="567"/>
      <c r="T126" s="189"/>
      <c r="U126" s="260">
        <f t="shared" si="3"/>
        <v>15.857231732525237</v>
      </c>
      <c r="V126" s="570">
        <v>2</v>
      </c>
      <c r="W126" s="412">
        <f>'App 3-Recycling Rate'!S127</f>
        <v>0.21583438243110925</v>
      </c>
    </row>
    <row r="127" spans="1:23" x14ac:dyDescent="0.2">
      <c r="A127" s="376">
        <v>18250</v>
      </c>
      <c r="B127" s="376" t="s">
        <v>255</v>
      </c>
      <c r="C127" s="376" t="s">
        <v>190</v>
      </c>
      <c r="D127" s="404" t="s">
        <v>4</v>
      </c>
      <c r="E127" s="189"/>
      <c r="F127" s="193" t="s">
        <v>73</v>
      </c>
      <c r="G127" s="194" t="s">
        <v>74</v>
      </c>
      <c r="H127" s="425">
        <v>9.3002820465257869</v>
      </c>
      <c r="I127" s="189"/>
      <c r="J127" s="190" t="s">
        <v>76</v>
      </c>
      <c r="K127" s="191" t="s">
        <v>74</v>
      </c>
      <c r="L127" s="428">
        <v>4.4370272046599739</v>
      </c>
      <c r="M127" s="189"/>
      <c r="N127" s="192" t="s">
        <v>76</v>
      </c>
      <c r="O127" s="192" t="s">
        <v>74</v>
      </c>
      <c r="P127" s="429">
        <v>7.6953996470414747</v>
      </c>
      <c r="Q127" s="564"/>
      <c r="R127" s="564"/>
      <c r="S127" s="567"/>
      <c r="T127" s="189"/>
      <c r="U127" s="260">
        <f t="shared" si="3"/>
        <v>21.432708898227233</v>
      </c>
      <c r="V127" s="570">
        <v>3</v>
      </c>
      <c r="W127" s="412">
        <f>'App 3-Recycling Rate'!S128</f>
        <v>0.39916358372205246</v>
      </c>
    </row>
    <row r="128" spans="1:23" x14ac:dyDescent="0.2">
      <c r="A128" s="376">
        <v>18350</v>
      </c>
      <c r="B128" s="376" t="s">
        <v>256</v>
      </c>
      <c r="C128" s="376" t="s">
        <v>291</v>
      </c>
      <c r="D128" s="404" t="s">
        <v>3</v>
      </c>
      <c r="E128" s="189"/>
      <c r="F128" s="193" t="s">
        <v>77</v>
      </c>
      <c r="G128" s="194" t="s">
        <v>74</v>
      </c>
      <c r="H128" s="425">
        <v>7.5251387243846644</v>
      </c>
      <c r="I128" s="189"/>
      <c r="J128" s="190" t="s">
        <v>76</v>
      </c>
      <c r="K128" s="191" t="s">
        <v>312</v>
      </c>
      <c r="L128" s="428">
        <v>5.0646270796194255</v>
      </c>
      <c r="M128" s="189"/>
      <c r="N128" s="192" t="s">
        <v>76</v>
      </c>
      <c r="O128" s="192" t="s">
        <v>312</v>
      </c>
      <c r="P128" s="429">
        <v>5.6802566270021888</v>
      </c>
      <c r="Q128" s="564"/>
      <c r="R128" s="564"/>
      <c r="S128" s="567"/>
      <c r="T128" s="189"/>
      <c r="U128" s="260">
        <f t="shared" si="3"/>
        <v>18.270022431006279</v>
      </c>
      <c r="V128" s="570">
        <v>3</v>
      </c>
      <c r="W128" s="412">
        <f>'App 3-Recycling Rate'!S129</f>
        <v>0.5753875664663145</v>
      </c>
    </row>
    <row r="129" spans="1:25" x14ac:dyDescent="0.2">
      <c r="A129" s="376">
        <v>18400</v>
      </c>
      <c r="B129" s="376" t="s">
        <v>257</v>
      </c>
      <c r="C129" s="376" t="s">
        <v>156</v>
      </c>
      <c r="D129" s="404" t="s">
        <v>5</v>
      </c>
      <c r="E129" s="189"/>
      <c r="F129" s="193" t="s">
        <v>75</v>
      </c>
      <c r="G129" s="194" t="s">
        <v>74</v>
      </c>
      <c r="H129" s="425">
        <v>10.695687232797402</v>
      </c>
      <c r="I129" s="189"/>
      <c r="J129" s="190" t="s">
        <v>76</v>
      </c>
      <c r="K129" s="191" t="s">
        <v>312</v>
      </c>
      <c r="L129" s="428">
        <v>5.3822250685524597</v>
      </c>
      <c r="M129" s="189"/>
      <c r="N129" s="192" t="s">
        <v>76</v>
      </c>
      <c r="O129" s="192" t="s">
        <v>312</v>
      </c>
      <c r="P129" s="429">
        <v>7.1252357466444582</v>
      </c>
      <c r="Q129" s="564"/>
      <c r="R129" s="564"/>
      <c r="S129" s="567"/>
      <c r="T129" s="189"/>
      <c r="U129" s="260">
        <f t="shared" si="3"/>
        <v>23.203148047994318</v>
      </c>
      <c r="V129" s="570">
        <v>3</v>
      </c>
      <c r="W129" s="412">
        <f>'App 3-Recycling Rate'!S130</f>
        <v>0.43934988610847653</v>
      </c>
    </row>
    <row r="130" spans="1:25" x14ac:dyDescent="0.2">
      <c r="A130" s="376">
        <v>18450</v>
      </c>
      <c r="B130" s="376" t="s">
        <v>258</v>
      </c>
      <c r="C130" s="376" t="s">
        <v>291</v>
      </c>
      <c r="D130" s="404" t="s">
        <v>3</v>
      </c>
      <c r="E130" s="189"/>
      <c r="F130" s="193" t="s">
        <v>75</v>
      </c>
      <c r="G130" s="194" t="s">
        <v>74</v>
      </c>
      <c r="H130" s="425">
        <v>9.9268136020741622</v>
      </c>
      <c r="I130" s="189"/>
      <c r="J130" s="190" t="s">
        <v>76</v>
      </c>
      <c r="K130" s="191" t="s">
        <v>312</v>
      </c>
      <c r="L130" s="428">
        <v>4.6478754377821847</v>
      </c>
      <c r="M130" s="189"/>
      <c r="N130" s="192" t="s">
        <v>76</v>
      </c>
      <c r="O130" s="192" t="s">
        <v>312</v>
      </c>
      <c r="P130" s="429">
        <v>5.1911004214898888</v>
      </c>
      <c r="Q130" s="564"/>
      <c r="R130" s="564"/>
      <c r="S130" s="567"/>
      <c r="T130" s="189"/>
      <c r="U130" s="260">
        <f t="shared" si="3"/>
        <v>19.765789461346237</v>
      </c>
      <c r="V130" s="570">
        <v>3</v>
      </c>
      <c r="W130" s="412">
        <f>'App 3-Recycling Rate'!S131</f>
        <v>0.51819155138880935</v>
      </c>
    </row>
    <row r="131" spans="1:25" x14ac:dyDescent="0.2">
      <c r="A131" s="376">
        <v>18500</v>
      </c>
      <c r="B131" s="376" t="s">
        <v>259</v>
      </c>
      <c r="C131" s="376" t="s">
        <v>127</v>
      </c>
      <c r="D131" s="404" t="s">
        <v>4</v>
      </c>
      <c r="E131" s="189"/>
      <c r="F131" s="193" t="s">
        <v>75</v>
      </c>
      <c r="G131" s="194" t="s">
        <v>74</v>
      </c>
      <c r="H131" s="425">
        <v>8.8338175659928844</v>
      </c>
      <c r="I131" s="189"/>
      <c r="J131" s="190" t="s">
        <v>75</v>
      </c>
      <c r="K131" s="191" t="s">
        <v>74</v>
      </c>
      <c r="L131" s="428">
        <v>4.4118748349206847</v>
      </c>
      <c r="M131" s="189"/>
      <c r="N131" s="192"/>
      <c r="O131" s="192"/>
      <c r="P131" s="429"/>
      <c r="Q131" s="564" t="s">
        <v>76</v>
      </c>
      <c r="R131" s="564" t="s">
        <v>74</v>
      </c>
      <c r="S131" s="567">
        <v>2.9154949272097324</v>
      </c>
      <c r="T131" s="189"/>
      <c r="U131" s="260">
        <f t="shared" si="3"/>
        <v>16.161187328123301</v>
      </c>
      <c r="V131" s="570">
        <v>4</v>
      </c>
      <c r="W131" s="412">
        <f>'App 3-Recycling Rate'!S132</f>
        <v>0.41234902636316528</v>
      </c>
    </row>
    <row r="132" spans="1:25" x14ac:dyDescent="0.2">
      <c r="A132" s="376">
        <v>18710</v>
      </c>
      <c r="B132" s="376" t="s">
        <v>260</v>
      </c>
      <c r="C132" s="376" t="s">
        <v>704</v>
      </c>
      <c r="D132" s="404" t="s">
        <v>2</v>
      </c>
      <c r="E132" s="189"/>
      <c r="F132" s="193" t="s">
        <v>73</v>
      </c>
      <c r="G132" s="194" t="s">
        <v>74</v>
      </c>
      <c r="H132" s="425">
        <v>13.529387936970874</v>
      </c>
      <c r="I132" s="189"/>
      <c r="J132" s="190" t="s">
        <v>76</v>
      </c>
      <c r="K132" s="191" t="s">
        <v>312</v>
      </c>
      <c r="L132" s="428">
        <v>4.5266739579535784</v>
      </c>
      <c r="M132" s="189"/>
      <c r="N132" s="192"/>
      <c r="O132" s="192"/>
      <c r="P132" s="429"/>
      <c r="Q132" s="564"/>
      <c r="R132" s="564"/>
      <c r="S132" s="567"/>
      <c r="T132" s="189"/>
      <c r="U132" s="260">
        <f t="shared" si="3"/>
        <v>18.056061894924454</v>
      </c>
      <c r="V132" s="570">
        <v>2</v>
      </c>
      <c r="W132" s="412">
        <f>'App 3-Recycling Rate'!S133</f>
        <v>0.29870482739476956</v>
      </c>
    </row>
    <row r="133" spans="1:25" x14ac:dyDescent="0.2">
      <c r="O133" s="436"/>
      <c r="Q133" s="436"/>
      <c r="R133" s="436"/>
    </row>
    <row r="134" spans="1:25" s="22" customFormat="1" ht="11.25" x14ac:dyDescent="0.2">
      <c r="B134" s="22" t="s">
        <v>280</v>
      </c>
      <c r="E134" s="82"/>
      <c r="F134" s="84"/>
      <c r="G134" s="84"/>
      <c r="H134" s="430">
        <f>'App 7-Household and Capita'!G136</f>
        <v>11.86215405314157</v>
      </c>
      <c r="I134" s="82"/>
      <c r="J134" s="84"/>
      <c r="K134" s="84"/>
      <c r="L134" s="430">
        <f>'App 7-Household and Capita'!L136</f>
        <v>4.8881259040083034</v>
      </c>
      <c r="M134" s="82"/>
      <c r="N134" s="84"/>
      <c r="O134" s="84"/>
      <c r="P134" s="430">
        <f>'App 7-Household and Capita'!P136</f>
        <v>5.7027537628666263</v>
      </c>
      <c r="Q134" s="84"/>
      <c r="R134" s="84"/>
      <c r="S134" s="430">
        <f>'App 7-Household and Capita'!S136</f>
        <v>7.4202240930103249</v>
      </c>
      <c r="T134" s="82"/>
      <c r="U134" s="430">
        <f>AVERAGE(U5:U132)</f>
        <v>19.598740723170902</v>
      </c>
    </row>
    <row r="135" spans="1:25" s="22" customFormat="1" x14ac:dyDescent="0.2">
      <c r="E135" s="82"/>
      <c r="F135" s="84"/>
      <c r="G135" s="84" t="s">
        <v>367</v>
      </c>
      <c r="H135" s="435" t="s">
        <v>366</v>
      </c>
      <c r="I135" s="82"/>
      <c r="J135" s="84"/>
      <c r="K135" s="84" t="s">
        <v>372</v>
      </c>
      <c r="L135" s="435" t="s">
        <v>366</v>
      </c>
      <c r="M135" s="82"/>
      <c r="N135" s="84"/>
      <c r="O135" s="84" t="s">
        <v>364</v>
      </c>
      <c r="P135" s="435" t="s">
        <v>366</v>
      </c>
      <c r="R135" s="84" t="s">
        <v>102</v>
      </c>
      <c r="S135" s="435" t="s">
        <v>366</v>
      </c>
      <c r="T135" s="82"/>
      <c r="U135" s="435" t="s">
        <v>281</v>
      </c>
      <c r="V135" s="435" t="s">
        <v>365</v>
      </c>
      <c r="W135" s="435" t="s">
        <v>366</v>
      </c>
      <c r="X135" s="78"/>
      <c r="Y135" s="22" t="s">
        <v>373</v>
      </c>
    </row>
    <row r="136" spans="1:25" x14ac:dyDescent="0.2">
      <c r="F136" s="434" t="s">
        <v>74</v>
      </c>
      <c r="G136" s="435">
        <f>COUNTIF($G$5:$G$132, "Weekly")</f>
        <v>111</v>
      </c>
      <c r="H136" s="562">
        <f>SUMIF($G$5:$G$132, "Weekly", $H$5:$H$132) /G136</f>
        <v>12.373702914106664</v>
      </c>
      <c r="J136" s="434" t="s">
        <v>74</v>
      </c>
      <c r="K136" s="435">
        <f>COUNTIF($K$5:$K$132, "Weekly")</f>
        <v>16</v>
      </c>
      <c r="L136" s="562">
        <f>SUMIF($K$5:$K$132, "Weekly", $L$5:$L$132) /K136</f>
        <v>4.4944850642876073</v>
      </c>
      <c r="N136" s="434" t="s">
        <v>74</v>
      </c>
      <c r="O136" s="435">
        <f>COUNTIF($O$5:$O$132, "Weekly")</f>
        <v>2</v>
      </c>
      <c r="P136" s="562">
        <f>SUMIF($O$5:$O$132, "Weekly", $P$5:$P$132) /O136</f>
        <v>7.3446527776188084</v>
      </c>
      <c r="Q136" s="434" t="s">
        <v>74</v>
      </c>
      <c r="R136" s="435">
        <f>COUNTIF($R$5:$R$132, "Weekly")</f>
        <v>19</v>
      </c>
      <c r="S136" s="562">
        <f>SUMIF($R$5:$R$132, "Weekly", $S$5:$S$132) /R136</f>
        <v>7.6951661069142858</v>
      </c>
      <c r="U136" s="568">
        <v>1</v>
      </c>
      <c r="V136" s="435">
        <f>COUNTIF($V$5:$V$132, "1")</f>
        <v>15</v>
      </c>
      <c r="W136" s="562">
        <f>SUMIF($V$5:$V$132, "1", $U$5:$U$132) /V136</f>
        <v>15.957377201092426</v>
      </c>
      <c r="X136" s="434" t="s">
        <v>367</v>
      </c>
      <c r="Y136" s="572">
        <f>SUMIF($V$5:$V$132, "1", $W$5:$W$132) /$V136</f>
        <v>9.1409092557105123E-2</v>
      </c>
    </row>
    <row r="137" spans="1:25" x14ac:dyDescent="0.2">
      <c r="F137" s="434" t="s">
        <v>283</v>
      </c>
      <c r="G137" s="435">
        <f>COUNTIF($G$5:$G$132, "F/N")</f>
        <v>17</v>
      </c>
      <c r="H137" s="562">
        <f>SUMIF($G$5:$G$132, "F/N", $H$5:$H$132) /G137</f>
        <v>7.4660085175187456</v>
      </c>
      <c r="J137" s="434" t="s">
        <v>283</v>
      </c>
      <c r="K137" s="435">
        <f>COUNTIF($K$5:$K$132, "F/N")</f>
        <v>96</v>
      </c>
      <c r="L137" s="562">
        <f>SUMIF($K$5:$K$132, "F/N", $L$5:$L$132) /K137</f>
        <v>4.9467923008082284</v>
      </c>
      <c r="N137" s="434" t="s">
        <v>283</v>
      </c>
      <c r="O137" s="435">
        <f>COUNTIF($O$5:$O$132, "F/N")</f>
        <v>44</v>
      </c>
      <c r="P137" s="562">
        <f>SUMIF($O$5:$O$132, "F/N", $P$5:$P$132) /O137</f>
        <v>5.3316988589529153</v>
      </c>
      <c r="Q137" s="434" t="s">
        <v>283</v>
      </c>
      <c r="R137" s="435">
        <f>COUNTIF($R$5:$R$132, "F/N")</f>
        <v>13</v>
      </c>
      <c r="S137" s="562">
        <f>SUMIF($R$5:$R$132, "F/N", $S$5:$S$132) /R137</f>
        <v>3.9251942481126298</v>
      </c>
      <c r="U137" s="568">
        <v>2</v>
      </c>
      <c r="V137" s="435">
        <f>COUNTIF($V$5:$V$132, "2")</f>
        <v>36</v>
      </c>
      <c r="W137" s="562">
        <f>SUMIF($V$5:$V$132, "2", $U$5:$U$132) /V137</f>
        <v>17.314596367384098</v>
      </c>
      <c r="X137" s="434" t="s">
        <v>368</v>
      </c>
      <c r="Y137" s="572">
        <f>SUMIF($V$5:$V$132, "2", $W$5:$W$132) /$V137</f>
        <v>0.33937732477727822</v>
      </c>
    </row>
    <row r="138" spans="1:25" x14ac:dyDescent="0.2">
      <c r="G138" s="435">
        <f>SUM(G136:G137)</f>
        <v>128</v>
      </c>
      <c r="K138" s="435">
        <f>SUM(K136:K137)</f>
        <v>112</v>
      </c>
      <c r="N138" s="434" t="s">
        <v>80</v>
      </c>
      <c r="O138" s="435">
        <f>COUNTIF($O$5:$O$132, "Month")</f>
        <v>3</v>
      </c>
      <c r="P138" s="562">
        <f>SUMIF($O$5:$O$132, "Month", $P$5:$P$132) /O138</f>
        <v>2.3633234684702238</v>
      </c>
      <c r="R138" s="435">
        <f>SUM(R136:R137)</f>
        <v>32</v>
      </c>
      <c r="U138" s="568">
        <v>3</v>
      </c>
      <c r="V138" s="435">
        <f>COUNTIF($V$5:$V$132, "3")</f>
        <v>46</v>
      </c>
      <c r="W138" s="562">
        <f>SUMIF($V$5:$V$132, "3", $U$5:$U$132) /V138</f>
        <v>22.34644775509658</v>
      </c>
      <c r="X138" s="434" t="s">
        <v>369</v>
      </c>
      <c r="Y138" s="572">
        <f>SUMIF($V$5:$V$132, "3", $W$5:$W$132) /$V138</f>
        <v>0.44120307836784117</v>
      </c>
    </row>
    <row r="139" spans="1:25" x14ac:dyDescent="0.2">
      <c r="N139" s="434" t="s">
        <v>313</v>
      </c>
      <c r="O139" s="435">
        <f>COUNTIF($O$5:$O$132, "Call")</f>
        <v>1</v>
      </c>
      <c r="P139" s="562">
        <f>SUMIF($O$5:$O$132, "Call", $P$5:$P$132) /O139</f>
        <v>7.822115384615385</v>
      </c>
      <c r="U139" s="568">
        <v>4</v>
      </c>
      <c r="V139" s="435">
        <f>COUNTIF($V$5:$V$132, "4")</f>
        <v>27</v>
      </c>
      <c r="W139" s="562">
        <f>SUMIF($V$5:$V$132, "4", $U$5:$U$132) /V139</f>
        <v>19.308586933078526</v>
      </c>
      <c r="X139" s="434" t="s">
        <v>370</v>
      </c>
      <c r="Y139" s="572">
        <f>SUMIF($V$5:$V$132, "4", $W$5:$W$132) /$V139</f>
        <v>0.54823899017852551</v>
      </c>
    </row>
    <row r="140" spans="1:25" x14ac:dyDescent="0.2">
      <c r="B140" s="587" t="s">
        <v>700</v>
      </c>
      <c r="C140" s="613" t="s">
        <v>18</v>
      </c>
      <c r="D140" s="613"/>
      <c r="E140" s="613"/>
      <c r="F140" s="89">
        <f>COUNTIFS($D$5:$D$132,"S",F5:F132,"*")</f>
        <v>30</v>
      </c>
      <c r="G140" s="89"/>
      <c r="J140" s="89"/>
      <c r="K140" s="89">
        <f>COUNTIFS($D$5:$D$132,"S",K5:K132,"*")</f>
        <v>30</v>
      </c>
      <c r="N140" s="89">
        <f>COUNTIFS($D$5:$D$132,"S",N5:N132,"*")</f>
        <v>25</v>
      </c>
      <c r="O140" s="435">
        <f>SUM(O136:O139)</f>
        <v>50</v>
      </c>
      <c r="Q140" s="89">
        <f>COUNTIFS($D$5:$D$132,"S",Q5:Q132,"*")</f>
        <v>3</v>
      </c>
      <c r="U140" s="569">
        <v>5</v>
      </c>
      <c r="V140" s="435">
        <f>COUNTIF($V$5:$V$132, "5")</f>
        <v>4</v>
      </c>
      <c r="W140" s="562">
        <f>SUMIF($V$5:$V$132, "5", $U$5:$U$132) /V140</f>
        <v>24.171060349025325</v>
      </c>
      <c r="X140" s="434" t="s">
        <v>371</v>
      </c>
      <c r="Y140" s="572">
        <f>SUMIF($V$5:$V$132, "5", $W$5:$W$132) /$V140</f>
        <v>0.41460718948224418</v>
      </c>
    </row>
    <row r="141" spans="1:25" x14ac:dyDescent="0.2">
      <c r="B141" s="587" t="s">
        <v>700</v>
      </c>
      <c r="C141" s="613" t="s">
        <v>19</v>
      </c>
      <c r="D141" s="613"/>
      <c r="E141" s="613"/>
      <c r="F141" s="89">
        <f>COUNTIFS($D$5:$D$132,"E",F5:F132,"*")</f>
        <v>12</v>
      </c>
      <c r="G141" s="89"/>
      <c r="J141" s="89"/>
      <c r="K141" s="89">
        <f>COUNTIFS($D$5:$D$132,"E",K5:K132,"*")</f>
        <v>12</v>
      </c>
      <c r="N141" s="89">
        <f>COUNTIFS($D$5:$D$132,"E",N5:N132,"*")</f>
        <v>8</v>
      </c>
      <c r="Q141" s="89">
        <f>COUNTIFS($D$5:$D$132,"E",Q5:Q132,"*")</f>
        <v>2</v>
      </c>
      <c r="V141" s="435">
        <f>SUM(V136:V140)</f>
        <v>128</v>
      </c>
    </row>
    <row r="142" spans="1:25" x14ac:dyDescent="0.2">
      <c r="B142" s="587" t="s">
        <v>700</v>
      </c>
      <c r="C142" s="613" t="s">
        <v>20</v>
      </c>
      <c r="D142" s="613"/>
      <c r="E142" s="613"/>
      <c r="F142" s="89">
        <f>COUNTIFS($D$5:$D$132,"R",F5:F132,"*")</f>
        <v>19</v>
      </c>
      <c r="G142" s="89"/>
      <c r="J142" s="89"/>
      <c r="K142" s="89">
        <f>COUNTIFS($D$5:$D$132,"R",K5:K132,"*")</f>
        <v>19</v>
      </c>
      <c r="N142" s="89">
        <f>COUNTIFS($D$5:$D$132,"R",N5:N132,"*")</f>
        <v>6</v>
      </c>
      <c r="Q142" s="89">
        <f>COUNTIFS($D$5:$D$132,"R",Q5:Q132,"*")</f>
        <v>10</v>
      </c>
    </row>
    <row r="143" spans="1:25" x14ac:dyDescent="0.2">
      <c r="B143" s="587" t="s">
        <v>700</v>
      </c>
      <c r="C143" s="613" t="s">
        <v>21</v>
      </c>
      <c r="D143" s="613"/>
      <c r="E143" s="613"/>
      <c r="F143" s="89">
        <f>COUNTIFS($D$5:$D$132,"N",F5:F132,"*")</f>
        <v>67</v>
      </c>
      <c r="G143" s="89"/>
      <c r="J143" s="89"/>
      <c r="K143" s="89">
        <f>COUNTIFS($D$5:$D$132,"N",K5:K132,"*")</f>
        <v>51</v>
      </c>
      <c r="N143" s="89">
        <f>COUNTIFS($D$5:$D$132,"N",N5:N132,"*")</f>
        <v>11</v>
      </c>
      <c r="Q143" s="89">
        <f>COUNTIFS($D$5:$D$132,"N",Q5:Q132,"*")</f>
        <v>17</v>
      </c>
    </row>
    <row r="144" spans="1:25" x14ac:dyDescent="0.2">
      <c r="B144" s="587" t="s">
        <v>700</v>
      </c>
      <c r="C144" s="613" t="s">
        <v>17</v>
      </c>
      <c r="D144" s="613"/>
      <c r="E144" s="613"/>
      <c r="F144" s="591">
        <f>SUM(F140:F143)</f>
        <v>128</v>
      </c>
      <c r="G144" s="592"/>
      <c r="H144" s="592"/>
      <c r="I144" s="593"/>
      <c r="J144" s="591"/>
      <c r="K144" s="591">
        <f>SUM(K140:K143)</f>
        <v>112</v>
      </c>
      <c r="L144" s="592"/>
      <c r="M144" s="593"/>
      <c r="N144" s="591">
        <f>SUM(N140:N143)</f>
        <v>50</v>
      </c>
      <c r="O144" s="592"/>
      <c r="P144" s="592"/>
      <c r="Q144" s="591">
        <f>SUM(Q140:Q143)</f>
        <v>32</v>
      </c>
    </row>
    <row r="146" spans="6:19" x14ac:dyDescent="0.2">
      <c r="F146" s="434" t="s">
        <v>77</v>
      </c>
      <c r="G146" s="435">
        <f>COUNTIF($F$5:$F$132, "80*")</f>
        <v>5</v>
      </c>
      <c r="H146" s="562">
        <f>SUMIF($F$5:$F$132, "80*", $H$5:$H$132) /G146</f>
        <v>8.8636899621396346</v>
      </c>
      <c r="J146" s="434" t="s">
        <v>79</v>
      </c>
      <c r="K146" s="435">
        <f>COUNTIF($J$5:$J$132, "Crate*")</f>
        <v>2</v>
      </c>
      <c r="L146" s="562">
        <f>SUMIF($J$5:$J$132, "Crate*", $L$5:$L$132) /K146</f>
        <v>4.3455983955745134</v>
      </c>
      <c r="N146" s="434" t="s">
        <v>81</v>
      </c>
      <c r="O146" s="435">
        <f>COUNTIF($N$5:$N$132, "360*")</f>
        <v>1</v>
      </c>
      <c r="P146" s="562">
        <f>SUMIF($N$5:$N$132, "360*", $P$5:$P$132) /O146</f>
        <v>10.513637371331201</v>
      </c>
      <c r="Q146" s="434"/>
      <c r="R146" s="435"/>
      <c r="S146" s="562"/>
    </row>
    <row r="147" spans="6:19" x14ac:dyDescent="0.2">
      <c r="F147" s="434" t="s">
        <v>75</v>
      </c>
      <c r="G147" s="435">
        <f>COUNTIF($F$5:$F$132, "120*")</f>
        <v>19</v>
      </c>
      <c r="H147" s="562">
        <f>SUMIF($F$5:$F$132, "120*", $H$5:$H$132) /G147</f>
        <v>12.222922867108514</v>
      </c>
      <c r="J147" s="434" t="s">
        <v>75</v>
      </c>
      <c r="K147" s="435">
        <f>COUNTIF($J$5:$J$132, "120*")</f>
        <v>5</v>
      </c>
      <c r="L147" s="562">
        <f>SUMIF($J$5:$J$132, "120*", $L$5:$L$132) /K147</f>
        <v>4.658879756091113</v>
      </c>
      <c r="N147" s="434" t="s">
        <v>75</v>
      </c>
      <c r="O147" s="435">
        <f>COUNTIF($N$5:$N$132, "120*")</f>
        <v>2</v>
      </c>
      <c r="P147" s="562">
        <f>SUMIF($N$5:$N$132, "120*", $P$5:$P$132) /O147</f>
        <v>3.9057214223976917</v>
      </c>
      <c r="Q147" s="434"/>
      <c r="R147" s="435"/>
      <c r="S147" s="562"/>
    </row>
    <row r="148" spans="6:19" x14ac:dyDescent="0.2">
      <c r="F148" s="434" t="s">
        <v>73</v>
      </c>
      <c r="G148" s="435">
        <f>COUNTIF($F$5:$F$132, "140*")</f>
        <v>35</v>
      </c>
      <c r="H148" s="562">
        <f>SUMIF($F$5:$F$132, "140*", $H$5:$H$132) /G148</f>
        <v>10.196770182073848</v>
      </c>
      <c r="J148" s="434" t="s">
        <v>73</v>
      </c>
      <c r="K148" s="435">
        <f>COUNTIF($J$5:$J$132, "140*")</f>
        <v>1</v>
      </c>
      <c r="L148" s="562">
        <f>SUMIF($J$5:$J$132, "140*", $L$5:$L$132) /K148</f>
        <v>4.1869906383494406</v>
      </c>
      <c r="N148" s="434"/>
      <c r="O148" s="435"/>
      <c r="P148" s="562"/>
      <c r="Q148" s="434"/>
      <c r="R148" s="435"/>
      <c r="S148" s="562"/>
    </row>
    <row r="149" spans="6:19" x14ac:dyDescent="0.2">
      <c r="F149" s="434" t="s">
        <v>76</v>
      </c>
      <c r="G149" s="435">
        <f>COUNTIF($F$5:$F$132, "240*")</f>
        <v>68</v>
      </c>
      <c r="H149" s="562">
        <f>SUMIF($F$5:$F$132, "240*", $H$5:$H$132) /G149</f>
        <v>12.644319391371138</v>
      </c>
      <c r="J149" s="434" t="s">
        <v>76</v>
      </c>
      <c r="K149" s="435">
        <f>COUNTIF($J$5:$J$132, "240*")</f>
        <v>97</v>
      </c>
      <c r="L149" s="562">
        <f>SUMIF($J$5:$J$132, "240*", $L$5:$L$132) /K149</f>
        <v>4.8341795018815281</v>
      </c>
      <c r="N149" s="434" t="s">
        <v>76</v>
      </c>
      <c r="O149" s="435">
        <f>COUNTIF($N$5:$N$132, "240*")</f>
        <v>47</v>
      </c>
      <c r="P149" s="562">
        <f>SUMIF($N$5:$N$132, "240*", $P$5:$P$132) /O149</f>
        <v>5.231299168575859</v>
      </c>
      <c r="Q149" s="434" t="s">
        <v>76</v>
      </c>
      <c r="R149" s="435">
        <f>COUNTIF($Q$5:$Q$132, "240*")</f>
        <v>32</v>
      </c>
      <c r="S149" s="562">
        <f>SUMIF($Q$5:$Q$132, "240*", $S$5:$S$132) /R149</f>
        <v>6.1636150392761131</v>
      </c>
    </row>
  </sheetData>
  <sortState ref="A5:AA132">
    <sortCondition ref="A5:A132"/>
  </sortState>
  <mergeCells count="9">
    <mergeCell ref="Q3:S3"/>
    <mergeCell ref="J3:L3"/>
    <mergeCell ref="F3:H3"/>
    <mergeCell ref="C140:E140"/>
    <mergeCell ref="C144:E144"/>
    <mergeCell ref="C141:E141"/>
    <mergeCell ref="C142:E142"/>
    <mergeCell ref="C143:E143"/>
    <mergeCell ref="N3:P3"/>
  </mergeCells>
  <hyperlinks>
    <hyperlink ref="D62" location="'2009-10'!A160" display="Bottom" xr:uid="{00000000-0004-0000-0700-000000000000}"/>
  </hyperlinks>
  <printOptions horizontalCentered="1"/>
  <pageMargins left="0.25" right="0.25" top="0.75" bottom="0.75" header="0.3" footer="0.3"/>
  <pageSetup paperSize="9" scale="58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145"/>
  <sheetViews>
    <sheetView tabSelected="1" workbookViewId="0">
      <pane xSplit="4" ySplit="3" topLeftCell="E97" activePane="bottomRight" state="frozen"/>
      <selection pane="topRight" activeCell="E1" sqref="E1"/>
      <selection pane="bottomLeft" activeCell="A4" sqref="A4"/>
      <selection pane="bottomRight" activeCell="C132" sqref="C132"/>
    </sheetView>
  </sheetViews>
  <sheetFormatPr defaultRowHeight="11.25" x14ac:dyDescent="0.2"/>
  <cols>
    <col min="1" max="1" width="5.28515625" style="551" bestFit="1" customWidth="1"/>
    <col min="2" max="2" width="26" style="551" bestFit="1" customWidth="1"/>
    <col min="3" max="3" width="15.42578125" style="551" bestFit="1" customWidth="1"/>
    <col min="4" max="4" width="3" style="551" bestFit="1" customWidth="1"/>
    <col min="5" max="6" width="5.140625" style="551" bestFit="1" customWidth="1"/>
    <col min="7" max="7" width="6.140625" style="551" bestFit="1" customWidth="1"/>
    <col min="8" max="10" width="5.140625" style="551" bestFit="1" customWidth="1"/>
    <col min="11" max="11" width="6.140625" style="551" bestFit="1" customWidth="1"/>
    <col min="12" max="13" width="6.28515625" style="551" bestFit="1" customWidth="1"/>
    <col min="14" max="16" width="6" style="551" bestFit="1" customWidth="1"/>
    <col min="17" max="17" width="9.140625" style="551" bestFit="1"/>
    <col min="18" max="18" width="7.28515625" style="551" customWidth="1"/>
    <col min="19" max="19" width="7.28515625" style="551" bestFit="1" customWidth="1"/>
    <col min="20" max="21" width="6" style="551" bestFit="1" customWidth="1"/>
    <col min="22" max="22" width="54" style="551" bestFit="1" customWidth="1"/>
    <col min="23" max="16384" width="9.140625" style="551"/>
  </cols>
  <sheetData>
    <row r="1" spans="1:22" s="549" customFormat="1" ht="12.75" x14ac:dyDescent="0.2">
      <c r="B1" s="550" t="s">
        <v>316</v>
      </c>
      <c r="E1" s="681" t="s">
        <v>317</v>
      </c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</row>
    <row r="2" spans="1:22" x14ac:dyDescent="0.2">
      <c r="E2" s="551" t="s">
        <v>318</v>
      </c>
      <c r="F2" s="551" t="s">
        <v>319</v>
      </c>
      <c r="G2" s="551" t="s">
        <v>320</v>
      </c>
      <c r="H2" s="551" t="s">
        <v>321</v>
      </c>
      <c r="I2" s="551" t="s">
        <v>322</v>
      </c>
      <c r="J2" s="551" t="s">
        <v>323</v>
      </c>
      <c r="K2" s="551" t="s">
        <v>324</v>
      </c>
      <c r="L2" s="551" t="s">
        <v>325</v>
      </c>
      <c r="M2" s="551" t="s">
        <v>326</v>
      </c>
      <c r="N2" s="551" t="s">
        <v>327</v>
      </c>
      <c r="O2" s="551" t="s">
        <v>328</v>
      </c>
      <c r="P2" s="551" t="s">
        <v>329</v>
      </c>
      <c r="Q2" s="551" t="s">
        <v>330</v>
      </c>
      <c r="R2" s="551" t="s">
        <v>331</v>
      </c>
      <c r="S2" s="551" t="s">
        <v>332</v>
      </c>
      <c r="T2" s="551" t="s">
        <v>333</v>
      </c>
      <c r="U2" s="551" t="s">
        <v>334</v>
      </c>
      <c r="V2" s="551" t="s">
        <v>335</v>
      </c>
    </row>
    <row r="3" spans="1:22" ht="45" x14ac:dyDescent="0.2">
      <c r="A3" s="444" t="s">
        <v>336</v>
      </c>
      <c r="B3" s="445" t="s">
        <v>12</v>
      </c>
      <c r="C3" s="444" t="s">
        <v>108</v>
      </c>
      <c r="D3" s="446" t="s">
        <v>11</v>
      </c>
      <c r="E3" s="552" t="s">
        <v>337</v>
      </c>
      <c r="F3" s="552" t="s">
        <v>338</v>
      </c>
      <c r="G3" s="552" t="s">
        <v>339</v>
      </c>
      <c r="H3" s="552" t="s">
        <v>340</v>
      </c>
      <c r="I3" s="552" t="s">
        <v>341</v>
      </c>
      <c r="J3" s="552" t="s">
        <v>342</v>
      </c>
      <c r="K3" s="552" t="s">
        <v>343</v>
      </c>
      <c r="L3" s="552" t="s">
        <v>344</v>
      </c>
      <c r="M3" s="552" t="s">
        <v>345</v>
      </c>
      <c r="N3" s="552" t="s">
        <v>346</v>
      </c>
      <c r="O3" s="552" t="s">
        <v>347</v>
      </c>
      <c r="P3" s="552" t="s">
        <v>348</v>
      </c>
      <c r="Q3" s="552" t="s">
        <v>349</v>
      </c>
      <c r="R3" s="552" t="s">
        <v>350</v>
      </c>
      <c r="S3" s="552" t="s">
        <v>351</v>
      </c>
      <c r="T3" s="552" t="s">
        <v>352</v>
      </c>
      <c r="U3" s="552" t="s">
        <v>117</v>
      </c>
      <c r="V3" s="552" t="s">
        <v>353</v>
      </c>
    </row>
    <row r="4" spans="1:22" x14ac:dyDescent="0.2">
      <c r="A4" s="377">
        <v>10050</v>
      </c>
      <c r="B4" s="553" t="s">
        <v>124</v>
      </c>
      <c r="C4" s="307" t="s">
        <v>703</v>
      </c>
      <c r="D4" s="504" t="s">
        <v>2</v>
      </c>
      <c r="E4" s="554">
        <v>1</v>
      </c>
      <c r="F4" s="554">
        <v>1</v>
      </c>
      <c r="G4" s="554">
        <v>1</v>
      </c>
      <c r="H4" s="554">
        <v>1</v>
      </c>
      <c r="I4" s="554">
        <v>1</v>
      </c>
      <c r="J4" s="554">
        <v>1</v>
      </c>
      <c r="K4" s="554">
        <v>1</v>
      </c>
      <c r="L4" s="554">
        <v>1</v>
      </c>
      <c r="M4" s="554">
        <v>1</v>
      </c>
      <c r="N4" s="554">
        <v>1</v>
      </c>
      <c r="O4" s="554">
        <v>1</v>
      </c>
      <c r="P4" s="554">
        <v>1</v>
      </c>
    </row>
    <row r="5" spans="1:22" x14ac:dyDescent="0.2">
      <c r="A5" s="377">
        <v>10130</v>
      </c>
      <c r="B5" s="553" t="s">
        <v>126</v>
      </c>
      <c r="C5" s="307" t="s">
        <v>125</v>
      </c>
      <c r="D5" s="504" t="s">
        <v>2</v>
      </c>
      <c r="E5" s="554">
        <v>1</v>
      </c>
      <c r="F5" s="554">
        <v>1</v>
      </c>
      <c r="G5" s="554">
        <v>1</v>
      </c>
      <c r="H5" s="554">
        <v>1</v>
      </c>
      <c r="I5" s="554">
        <v>1</v>
      </c>
      <c r="J5" s="554">
        <v>1</v>
      </c>
      <c r="K5" s="554">
        <v>1</v>
      </c>
      <c r="L5" s="554">
        <v>1</v>
      </c>
      <c r="M5" s="554">
        <v>1</v>
      </c>
      <c r="N5" s="554">
        <v>1</v>
      </c>
      <c r="O5" s="554">
        <v>1</v>
      </c>
      <c r="P5" s="554">
        <v>1</v>
      </c>
      <c r="Q5" s="554">
        <v>1</v>
      </c>
    </row>
    <row r="6" spans="1:22" x14ac:dyDescent="0.2">
      <c r="A6" s="377">
        <v>10250</v>
      </c>
      <c r="B6" s="553" t="s">
        <v>132</v>
      </c>
      <c r="C6" s="307" t="s">
        <v>131</v>
      </c>
      <c r="D6" s="504" t="s">
        <v>5</v>
      </c>
      <c r="E6" s="554">
        <v>1</v>
      </c>
      <c r="F6" s="554">
        <v>1</v>
      </c>
      <c r="G6" s="554">
        <v>1</v>
      </c>
      <c r="H6" s="554">
        <v>1</v>
      </c>
      <c r="I6" s="554">
        <v>1</v>
      </c>
      <c r="J6" s="554">
        <v>1</v>
      </c>
      <c r="K6" s="554">
        <v>1</v>
      </c>
      <c r="L6" s="554">
        <v>1</v>
      </c>
      <c r="M6" s="554">
        <v>1</v>
      </c>
      <c r="N6" s="554">
        <v>1</v>
      </c>
      <c r="O6" s="554">
        <v>1</v>
      </c>
      <c r="P6" s="554">
        <v>1</v>
      </c>
      <c r="Q6" s="554">
        <v>1</v>
      </c>
      <c r="R6" s="554">
        <v>1</v>
      </c>
      <c r="U6" s="554">
        <v>1</v>
      </c>
      <c r="V6" s="551" t="s">
        <v>354</v>
      </c>
    </row>
    <row r="7" spans="1:22" x14ac:dyDescent="0.2">
      <c r="A7" s="377">
        <v>10300</v>
      </c>
      <c r="B7" s="553" t="s">
        <v>133</v>
      </c>
      <c r="C7" s="307" t="s">
        <v>703</v>
      </c>
      <c r="D7" s="504" t="s">
        <v>2</v>
      </c>
    </row>
    <row r="8" spans="1:22" x14ac:dyDescent="0.2">
      <c r="A8" s="377">
        <v>10470</v>
      </c>
      <c r="B8" s="553" t="s">
        <v>135</v>
      </c>
      <c r="C8" s="307" t="s">
        <v>293</v>
      </c>
      <c r="D8" s="504" t="s">
        <v>2</v>
      </c>
      <c r="E8" s="554">
        <v>1</v>
      </c>
      <c r="F8" s="554">
        <v>1</v>
      </c>
      <c r="G8" s="554">
        <v>1</v>
      </c>
      <c r="H8" s="554">
        <v>1</v>
      </c>
      <c r="I8" s="554">
        <v>1</v>
      </c>
      <c r="J8" s="554">
        <v>1</v>
      </c>
      <c r="K8" s="554">
        <v>1</v>
      </c>
      <c r="L8" s="554">
        <v>1</v>
      </c>
      <c r="M8" s="554">
        <v>1</v>
      </c>
      <c r="O8" s="554">
        <v>1</v>
      </c>
    </row>
    <row r="9" spans="1:22" x14ac:dyDescent="0.2">
      <c r="A9" s="377">
        <v>10500</v>
      </c>
      <c r="B9" s="553" t="s">
        <v>149</v>
      </c>
      <c r="C9" s="307" t="s">
        <v>127</v>
      </c>
      <c r="D9" s="504" t="s">
        <v>4</v>
      </c>
      <c r="E9" s="554">
        <v>1</v>
      </c>
      <c r="F9" s="554">
        <v>1</v>
      </c>
      <c r="G9" s="554">
        <v>1</v>
      </c>
      <c r="H9" s="554">
        <v>1</v>
      </c>
      <c r="I9" s="554">
        <v>1</v>
      </c>
      <c r="J9" s="554">
        <v>1</v>
      </c>
      <c r="K9" s="554">
        <v>1</v>
      </c>
      <c r="L9" s="554">
        <v>1</v>
      </c>
      <c r="M9" s="554">
        <v>1</v>
      </c>
      <c r="N9" s="554">
        <v>1</v>
      </c>
      <c r="O9" s="554">
        <v>1</v>
      </c>
      <c r="U9" s="554">
        <v>1</v>
      </c>
      <c r="V9" s="551" t="s">
        <v>355</v>
      </c>
    </row>
    <row r="10" spans="1:22" x14ac:dyDescent="0.2">
      <c r="A10" s="377">
        <v>10550</v>
      </c>
      <c r="B10" s="553" t="s">
        <v>138</v>
      </c>
      <c r="C10" s="307" t="s">
        <v>704</v>
      </c>
      <c r="D10" s="504" t="s">
        <v>2</v>
      </c>
      <c r="E10" s="554">
        <v>1</v>
      </c>
      <c r="F10" s="554">
        <v>1</v>
      </c>
      <c r="G10" s="554">
        <v>1</v>
      </c>
      <c r="H10" s="554">
        <v>1</v>
      </c>
      <c r="I10" s="554">
        <v>1</v>
      </c>
      <c r="J10" s="554">
        <v>1</v>
      </c>
      <c r="K10" s="554">
        <v>1</v>
      </c>
      <c r="L10" s="554">
        <v>1</v>
      </c>
      <c r="M10" s="554">
        <v>1</v>
      </c>
      <c r="O10" s="554">
        <v>1</v>
      </c>
      <c r="P10" s="554">
        <v>1</v>
      </c>
    </row>
    <row r="11" spans="1:22" x14ac:dyDescent="0.2">
      <c r="A11" s="377">
        <v>10600</v>
      </c>
      <c r="B11" s="553" t="s">
        <v>139</v>
      </c>
      <c r="C11" s="307" t="s">
        <v>294</v>
      </c>
      <c r="D11" s="504" t="s">
        <v>5</v>
      </c>
      <c r="E11" s="554">
        <v>1</v>
      </c>
      <c r="F11" s="554">
        <v>1</v>
      </c>
      <c r="G11" s="554">
        <v>1</v>
      </c>
      <c r="H11" s="554">
        <v>1</v>
      </c>
      <c r="I11" s="554">
        <v>1</v>
      </c>
      <c r="J11" s="554">
        <v>1</v>
      </c>
      <c r="K11" s="554">
        <v>1</v>
      </c>
      <c r="L11" s="554">
        <v>1</v>
      </c>
      <c r="M11" s="554">
        <v>1</v>
      </c>
      <c r="P11" s="554">
        <v>1</v>
      </c>
      <c r="T11" s="554">
        <v>1</v>
      </c>
    </row>
    <row r="12" spans="1:22" x14ac:dyDescent="0.2">
      <c r="A12" s="377">
        <v>10650</v>
      </c>
      <c r="B12" s="553" t="s">
        <v>140</v>
      </c>
      <c r="C12" s="307" t="s">
        <v>703</v>
      </c>
      <c r="D12" s="504" t="s">
        <v>2</v>
      </c>
      <c r="E12" s="554">
        <v>1</v>
      </c>
      <c r="F12" s="554">
        <v>1</v>
      </c>
      <c r="H12" s="554">
        <v>1</v>
      </c>
      <c r="I12" s="554">
        <v>1</v>
      </c>
      <c r="J12" s="554">
        <v>1</v>
      </c>
      <c r="K12" s="554">
        <v>1</v>
      </c>
      <c r="L12" s="554">
        <v>1</v>
      </c>
      <c r="M12" s="554">
        <v>1</v>
      </c>
      <c r="N12" s="554">
        <v>1</v>
      </c>
      <c r="O12" s="554">
        <v>1</v>
      </c>
      <c r="P12" s="554">
        <v>1</v>
      </c>
    </row>
    <row r="13" spans="1:22" x14ac:dyDescent="0.2">
      <c r="A13" s="377">
        <v>10750</v>
      </c>
      <c r="B13" s="553" t="s">
        <v>141</v>
      </c>
      <c r="C13" s="307" t="s">
        <v>129</v>
      </c>
      <c r="D13" s="504" t="s">
        <v>4</v>
      </c>
      <c r="E13" s="554">
        <v>1</v>
      </c>
      <c r="F13" s="554">
        <v>1</v>
      </c>
      <c r="G13" s="554">
        <v>1</v>
      </c>
      <c r="H13" s="554">
        <v>1</v>
      </c>
      <c r="I13" s="554">
        <v>1</v>
      </c>
      <c r="J13" s="554">
        <v>1</v>
      </c>
      <c r="K13" s="554">
        <v>1</v>
      </c>
      <c r="L13" s="554">
        <v>1</v>
      </c>
      <c r="M13" s="554">
        <v>1</v>
      </c>
      <c r="N13" s="554">
        <v>1</v>
      </c>
      <c r="P13" s="554">
        <v>1</v>
      </c>
      <c r="Q13" s="554">
        <v>1</v>
      </c>
    </row>
    <row r="14" spans="1:22" x14ac:dyDescent="0.2">
      <c r="A14" s="377">
        <v>10800</v>
      </c>
      <c r="B14" s="553" t="s">
        <v>143</v>
      </c>
      <c r="C14" s="307" t="s">
        <v>142</v>
      </c>
      <c r="D14" s="504" t="s">
        <v>2</v>
      </c>
    </row>
    <row r="15" spans="1:22" x14ac:dyDescent="0.2">
      <c r="A15" s="377">
        <v>10850</v>
      </c>
      <c r="B15" s="553" t="s">
        <v>144</v>
      </c>
      <c r="C15" s="307" t="s">
        <v>293</v>
      </c>
      <c r="D15" s="504" t="s">
        <v>2</v>
      </c>
      <c r="E15" s="554">
        <v>1</v>
      </c>
      <c r="F15" s="554">
        <v>1</v>
      </c>
      <c r="H15" s="554">
        <v>1</v>
      </c>
      <c r="I15" s="554">
        <v>1</v>
      </c>
      <c r="J15" s="554">
        <v>1</v>
      </c>
      <c r="K15" s="554">
        <v>1</v>
      </c>
      <c r="O15" s="554">
        <v>1</v>
      </c>
    </row>
    <row r="16" spans="1:22" x14ac:dyDescent="0.2">
      <c r="A16" s="377">
        <v>10900</v>
      </c>
      <c r="B16" s="553" t="s">
        <v>145</v>
      </c>
      <c r="C16" s="307" t="s">
        <v>129</v>
      </c>
      <c r="D16" s="504" t="s">
        <v>5</v>
      </c>
      <c r="E16" s="554">
        <v>1</v>
      </c>
      <c r="F16" s="554">
        <v>1</v>
      </c>
      <c r="G16" s="554">
        <v>1</v>
      </c>
      <c r="H16" s="554">
        <v>1</v>
      </c>
      <c r="I16" s="554">
        <v>1</v>
      </c>
      <c r="J16" s="554">
        <v>1</v>
      </c>
      <c r="K16" s="554">
        <v>1</v>
      </c>
      <c r="L16" s="554">
        <v>1</v>
      </c>
      <c r="M16" s="554">
        <v>1</v>
      </c>
      <c r="N16" s="554">
        <v>1</v>
      </c>
      <c r="O16" s="554">
        <v>1</v>
      </c>
      <c r="P16" s="554">
        <v>1</v>
      </c>
    </row>
    <row r="17" spans="1:22" x14ac:dyDescent="0.2">
      <c r="A17" s="377">
        <v>10950</v>
      </c>
      <c r="B17" s="553" t="s">
        <v>146</v>
      </c>
      <c r="C17" s="307" t="s">
        <v>293</v>
      </c>
      <c r="D17" s="504" t="s">
        <v>2</v>
      </c>
      <c r="E17" s="554">
        <v>1</v>
      </c>
      <c r="F17" s="554">
        <v>1</v>
      </c>
      <c r="H17" s="554">
        <v>1</v>
      </c>
      <c r="I17" s="554">
        <v>1</v>
      </c>
      <c r="J17" s="554">
        <v>1</v>
      </c>
      <c r="K17" s="554">
        <v>1</v>
      </c>
      <c r="L17" s="554">
        <v>1</v>
      </c>
      <c r="M17" s="554">
        <v>1</v>
      </c>
      <c r="N17" s="554">
        <v>1</v>
      </c>
      <c r="O17" s="554">
        <v>1</v>
      </c>
    </row>
    <row r="18" spans="1:22" x14ac:dyDescent="0.2">
      <c r="A18" s="377">
        <v>11150</v>
      </c>
      <c r="B18" s="553" t="s">
        <v>150</v>
      </c>
      <c r="C18" s="307" t="s">
        <v>293</v>
      </c>
      <c r="D18" s="504" t="s">
        <v>2</v>
      </c>
    </row>
    <row r="19" spans="1:22" x14ac:dyDescent="0.2">
      <c r="A19" s="377">
        <v>11200</v>
      </c>
      <c r="B19" s="553" t="s">
        <v>151</v>
      </c>
      <c r="C19" s="307" t="s">
        <v>293</v>
      </c>
      <c r="D19" s="504" t="s">
        <v>2</v>
      </c>
    </row>
    <row r="20" spans="1:22" x14ac:dyDescent="0.2">
      <c r="A20" s="377">
        <v>11250</v>
      </c>
      <c r="B20" s="553" t="s">
        <v>152</v>
      </c>
      <c r="C20" s="307" t="s">
        <v>293</v>
      </c>
      <c r="D20" s="504" t="s">
        <v>2</v>
      </c>
    </row>
    <row r="21" spans="1:22" x14ac:dyDescent="0.2">
      <c r="A21" s="377">
        <v>11300</v>
      </c>
      <c r="B21" s="553" t="s">
        <v>153</v>
      </c>
      <c r="C21" s="307" t="s">
        <v>127</v>
      </c>
      <c r="D21" s="504" t="s">
        <v>4</v>
      </c>
      <c r="E21" s="554">
        <v>1</v>
      </c>
      <c r="F21" s="554">
        <v>1</v>
      </c>
      <c r="G21" s="554">
        <v>1</v>
      </c>
      <c r="H21" s="554">
        <v>1</v>
      </c>
      <c r="I21" s="554">
        <v>1</v>
      </c>
      <c r="J21" s="554">
        <v>1</v>
      </c>
      <c r="K21" s="554">
        <v>1</v>
      </c>
      <c r="L21" s="554">
        <v>1</v>
      </c>
      <c r="M21" s="554">
        <v>1</v>
      </c>
      <c r="N21" s="554">
        <v>1</v>
      </c>
    </row>
    <row r="22" spans="1:22" x14ac:dyDescent="0.2">
      <c r="A22" s="377">
        <v>11350</v>
      </c>
      <c r="B22" s="553" t="s">
        <v>154</v>
      </c>
      <c r="C22" s="307" t="s">
        <v>131</v>
      </c>
      <c r="D22" s="504" t="s">
        <v>5</v>
      </c>
      <c r="E22" s="554">
        <v>1</v>
      </c>
      <c r="F22" s="554">
        <v>1</v>
      </c>
      <c r="G22" s="554">
        <v>1</v>
      </c>
      <c r="H22" s="554">
        <v>1</v>
      </c>
      <c r="I22" s="554">
        <v>1</v>
      </c>
      <c r="J22" s="554">
        <v>1</v>
      </c>
      <c r="K22" s="554">
        <v>1</v>
      </c>
      <c r="L22" s="554">
        <v>1</v>
      </c>
      <c r="M22" s="554">
        <v>1</v>
      </c>
      <c r="N22" s="554">
        <v>1</v>
      </c>
      <c r="O22" s="554">
        <v>1</v>
      </c>
      <c r="P22" s="554">
        <v>1</v>
      </c>
      <c r="Q22" s="554">
        <v>1</v>
      </c>
      <c r="R22" s="554">
        <v>1</v>
      </c>
      <c r="S22" s="554">
        <v>1</v>
      </c>
    </row>
    <row r="23" spans="1:22" x14ac:dyDescent="0.2">
      <c r="A23" s="377">
        <v>11400</v>
      </c>
      <c r="B23" s="553" t="s">
        <v>155</v>
      </c>
      <c r="C23" s="307" t="s">
        <v>293</v>
      </c>
      <c r="D23" s="504" t="s">
        <v>2</v>
      </c>
      <c r="E23" s="554">
        <v>1</v>
      </c>
      <c r="F23" s="554">
        <v>1</v>
      </c>
      <c r="G23" s="554">
        <v>1</v>
      </c>
      <c r="H23" s="554">
        <v>1</v>
      </c>
      <c r="I23" s="554">
        <v>1</v>
      </c>
      <c r="J23" s="554">
        <v>1</v>
      </c>
      <c r="K23" s="554">
        <v>1</v>
      </c>
      <c r="L23" s="554">
        <v>1</v>
      </c>
      <c r="M23" s="554">
        <v>1</v>
      </c>
      <c r="N23" s="554">
        <v>1</v>
      </c>
      <c r="O23" s="554">
        <v>1</v>
      </c>
    </row>
    <row r="24" spans="1:22" x14ac:dyDescent="0.2">
      <c r="A24" s="377">
        <v>11450</v>
      </c>
      <c r="B24" s="553" t="s">
        <v>157</v>
      </c>
      <c r="C24" s="307" t="s">
        <v>156</v>
      </c>
      <c r="D24" s="504" t="s">
        <v>4</v>
      </c>
      <c r="E24" s="554">
        <v>1</v>
      </c>
      <c r="F24" s="554">
        <v>1</v>
      </c>
      <c r="G24" s="554">
        <v>1</v>
      </c>
      <c r="H24" s="554">
        <v>1</v>
      </c>
      <c r="I24" s="554">
        <v>1</v>
      </c>
      <c r="J24" s="554">
        <v>1</v>
      </c>
      <c r="K24" s="554">
        <v>1</v>
      </c>
      <c r="L24" s="554">
        <v>1</v>
      </c>
      <c r="M24" s="554">
        <v>1</v>
      </c>
      <c r="N24" s="554">
        <v>1</v>
      </c>
    </row>
    <row r="25" spans="1:22" x14ac:dyDescent="0.2">
      <c r="A25" s="377">
        <v>11500</v>
      </c>
      <c r="B25" s="553" t="s">
        <v>158</v>
      </c>
      <c r="C25" s="307" t="s">
        <v>156</v>
      </c>
      <c r="D25" s="504" t="s">
        <v>4</v>
      </c>
      <c r="E25" s="554">
        <v>1</v>
      </c>
      <c r="F25" s="554">
        <v>1</v>
      </c>
      <c r="G25" s="554">
        <v>1</v>
      </c>
      <c r="H25" s="554">
        <v>1</v>
      </c>
      <c r="I25" s="554">
        <v>1</v>
      </c>
      <c r="J25" s="554">
        <v>1</v>
      </c>
      <c r="K25" s="554">
        <v>1</v>
      </c>
      <c r="L25" s="554">
        <v>1</v>
      </c>
      <c r="M25" s="554">
        <v>1</v>
      </c>
      <c r="N25" s="554">
        <v>1</v>
      </c>
      <c r="O25" s="554">
        <v>1</v>
      </c>
    </row>
    <row r="26" spans="1:22" x14ac:dyDescent="0.2">
      <c r="A26" s="377">
        <v>11520</v>
      </c>
      <c r="B26" s="553" t="s">
        <v>159</v>
      </c>
      <c r="C26" s="307" t="s">
        <v>127</v>
      </c>
      <c r="D26" s="504" t="s">
        <v>4</v>
      </c>
      <c r="E26" s="554">
        <v>1</v>
      </c>
      <c r="F26" s="554">
        <v>1</v>
      </c>
      <c r="G26" s="554">
        <v>1</v>
      </c>
      <c r="H26" s="554">
        <v>1</v>
      </c>
      <c r="I26" s="554">
        <v>1</v>
      </c>
      <c r="J26" s="554">
        <v>1</v>
      </c>
      <c r="K26" s="554">
        <v>1</v>
      </c>
      <c r="L26" s="554">
        <v>1</v>
      </c>
      <c r="M26" s="554">
        <v>1</v>
      </c>
      <c r="N26" s="554">
        <v>1</v>
      </c>
      <c r="O26" s="554">
        <v>1</v>
      </c>
    </row>
    <row r="27" spans="1:22" x14ac:dyDescent="0.2">
      <c r="A27" s="377">
        <v>11570</v>
      </c>
      <c r="B27" s="553" t="s">
        <v>134</v>
      </c>
      <c r="C27" s="307" t="s">
        <v>127</v>
      </c>
      <c r="D27" s="504" t="s">
        <v>4</v>
      </c>
      <c r="E27" s="554">
        <v>1</v>
      </c>
      <c r="F27" s="554">
        <v>1</v>
      </c>
      <c r="G27" s="554">
        <v>1</v>
      </c>
      <c r="H27" s="554">
        <v>1</v>
      </c>
      <c r="I27" s="554">
        <v>1</v>
      </c>
      <c r="J27" s="554">
        <v>1</v>
      </c>
      <c r="K27" s="554">
        <v>1</v>
      </c>
      <c r="L27" s="554">
        <v>1</v>
      </c>
      <c r="M27" s="554">
        <v>1</v>
      </c>
      <c r="N27" s="554">
        <v>1</v>
      </c>
      <c r="O27" s="554">
        <v>1</v>
      </c>
    </row>
    <row r="28" spans="1:22" x14ac:dyDescent="0.2">
      <c r="A28" s="377">
        <v>11600</v>
      </c>
      <c r="B28" s="553" t="s">
        <v>161</v>
      </c>
      <c r="C28" s="307" t="s">
        <v>705</v>
      </c>
      <c r="D28" s="504" t="s">
        <v>2</v>
      </c>
    </row>
    <row r="29" spans="1:22" x14ac:dyDescent="0.2">
      <c r="A29" s="377">
        <v>11650</v>
      </c>
      <c r="B29" s="553" t="s">
        <v>181</v>
      </c>
      <c r="C29" s="307" t="s">
        <v>163</v>
      </c>
      <c r="D29" s="504" t="s">
        <v>3</v>
      </c>
      <c r="E29" s="554">
        <v>1</v>
      </c>
      <c r="F29" s="554">
        <v>1</v>
      </c>
      <c r="G29" s="554">
        <v>1</v>
      </c>
      <c r="H29" s="554">
        <v>1</v>
      </c>
      <c r="I29" s="554">
        <v>1</v>
      </c>
      <c r="J29" s="554">
        <v>1</v>
      </c>
      <c r="K29" s="554">
        <v>1</v>
      </c>
      <c r="L29" s="554">
        <v>1</v>
      </c>
      <c r="M29" s="554">
        <v>1</v>
      </c>
      <c r="N29" s="554">
        <v>1</v>
      </c>
      <c r="O29" s="554">
        <v>1</v>
      </c>
      <c r="V29" s="551" t="s">
        <v>356</v>
      </c>
    </row>
    <row r="30" spans="1:22" x14ac:dyDescent="0.2">
      <c r="A30" s="377">
        <v>11700</v>
      </c>
      <c r="B30" s="553" t="s">
        <v>162</v>
      </c>
      <c r="C30" s="307" t="s">
        <v>293</v>
      </c>
      <c r="D30" s="504" t="s">
        <v>2</v>
      </c>
    </row>
    <row r="31" spans="1:22" x14ac:dyDescent="0.2">
      <c r="A31" s="377">
        <v>11720</v>
      </c>
      <c r="B31" s="553" t="s">
        <v>164</v>
      </c>
      <c r="C31" s="307" t="s">
        <v>163</v>
      </c>
      <c r="D31" s="504" t="s">
        <v>3</v>
      </c>
      <c r="E31" s="554">
        <v>1</v>
      </c>
      <c r="F31" s="554">
        <v>1</v>
      </c>
      <c r="G31" s="554">
        <v>1</v>
      </c>
      <c r="H31" s="554">
        <v>1</v>
      </c>
      <c r="I31" s="554">
        <v>1</v>
      </c>
      <c r="J31" s="554">
        <v>1</v>
      </c>
      <c r="K31" s="554">
        <v>1</v>
      </c>
      <c r="L31" s="554">
        <v>1</v>
      </c>
      <c r="M31" s="554">
        <v>1</v>
      </c>
      <c r="N31" s="554">
        <v>1</v>
      </c>
      <c r="O31" s="554">
        <v>1</v>
      </c>
      <c r="P31" s="554">
        <v>1</v>
      </c>
    </row>
    <row r="32" spans="1:22" x14ac:dyDescent="0.2">
      <c r="A32" s="377">
        <v>11730</v>
      </c>
      <c r="B32" s="553" t="s">
        <v>165</v>
      </c>
      <c r="C32" s="307" t="s">
        <v>131</v>
      </c>
      <c r="D32" s="504" t="s">
        <v>5</v>
      </c>
      <c r="E32" s="554">
        <v>1</v>
      </c>
      <c r="F32" s="554">
        <v>1</v>
      </c>
      <c r="G32" s="554">
        <v>1</v>
      </c>
      <c r="H32" s="554">
        <v>1</v>
      </c>
      <c r="I32" s="554">
        <v>1</v>
      </c>
      <c r="J32" s="554">
        <v>1</v>
      </c>
      <c r="K32" s="554">
        <v>1</v>
      </c>
      <c r="L32" s="554">
        <v>1</v>
      </c>
      <c r="M32" s="554">
        <v>1</v>
      </c>
      <c r="N32" s="554">
        <v>1</v>
      </c>
      <c r="O32" s="554">
        <v>1</v>
      </c>
      <c r="P32" s="554">
        <v>1</v>
      </c>
    </row>
    <row r="33" spans="1:17" x14ac:dyDescent="0.2">
      <c r="A33" s="377">
        <v>11750</v>
      </c>
      <c r="B33" s="553" t="s">
        <v>166</v>
      </c>
      <c r="C33" s="307" t="s">
        <v>293</v>
      </c>
      <c r="D33" s="504" t="s">
        <v>2</v>
      </c>
    </row>
    <row r="34" spans="1:17" x14ac:dyDescent="0.2">
      <c r="A34" s="377">
        <v>11800</v>
      </c>
      <c r="B34" s="553" t="s">
        <v>167</v>
      </c>
      <c r="C34" s="307" t="s">
        <v>294</v>
      </c>
      <c r="D34" s="504" t="s">
        <v>5</v>
      </c>
      <c r="E34" s="554">
        <v>1</v>
      </c>
      <c r="F34" s="554">
        <v>1</v>
      </c>
      <c r="G34" s="554">
        <v>1</v>
      </c>
      <c r="H34" s="554">
        <v>1</v>
      </c>
      <c r="I34" s="554">
        <v>1</v>
      </c>
      <c r="J34" s="554">
        <v>1</v>
      </c>
      <c r="K34" s="554">
        <v>1</v>
      </c>
      <c r="L34" s="554">
        <v>1</v>
      </c>
      <c r="M34" s="554">
        <v>1</v>
      </c>
    </row>
    <row r="35" spans="1:17" x14ac:dyDescent="0.2">
      <c r="A35" s="377">
        <v>12000</v>
      </c>
      <c r="B35" s="553" t="s">
        <v>169</v>
      </c>
      <c r="C35" s="307" t="s">
        <v>142</v>
      </c>
      <c r="D35" s="504" t="s">
        <v>2</v>
      </c>
      <c r="E35" s="554">
        <v>1</v>
      </c>
      <c r="F35" s="554">
        <v>1</v>
      </c>
      <c r="G35" s="554">
        <v>1</v>
      </c>
      <c r="H35" s="554">
        <v>1</v>
      </c>
      <c r="I35" s="554">
        <v>1</v>
      </c>
      <c r="J35" s="554">
        <v>1</v>
      </c>
      <c r="K35" s="554">
        <v>1</v>
      </c>
      <c r="L35" s="554">
        <v>1</v>
      </c>
      <c r="M35" s="554">
        <v>1</v>
      </c>
      <c r="N35" s="554">
        <v>1</v>
      </c>
      <c r="O35" s="554">
        <v>1</v>
      </c>
    </row>
    <row r="36" spans="1:17" x14ac:dyDescent="0.2">
      <c r="A36" s="377">
        <v>12150</v>
      </c>
      <c r="B36" s="553" t="s">
        <v>170</v>
      </c>
      <c r="C36" s="307" t="s">
        <v>293</v>
      </c>
      <c r="D36" s="504" t="s">
        <v>2</v>
      </c>
    </row>
    <row r="37" spans="1:17" x14ac:dyDescent="0.2">
      <c r="A37" s="377">
        <v>12350</v>
      </c>
      <c r="B37" s="553" t="s">
        <v>172</v>
      </c>
      <c r="C37" s="307" t="s">
        <v>293</v>
      </c>
      <c r="D37" s="504" t="s">
        <v>2</v>
      </c>
      <c r="E37" s="554">
        <v>1</v>
      </c>
      <c r="F37" s="554">
        <v>1</v>
      </c>
      <c r="G37" s="554">
        <v>1</v>
      </c>
      <c r="H37" s="554">
        <v>1</v>
      </c>
      <c r="I37" s="554">
        <v>1</v>
      </c>
      <c r="J37" s="554">
        <v>1</v>
      </c>
      <c r="K37" s="554">
        <v>1</v>
      </c>
      <c r="L37" s="554">
        <v>1</v>
      </c>
      <c r="M37" s="554">
        <v>1</v>
      </c>
      <c r="N37" s="554">
        <v>1</v>
      </c>
      <c r="O37" s="554">
        <v>1</v>
      </c>
      <c r="P37" s="554">
        <v>1</v>
      </c>
      <c r="Q37" s="554">
        <v>1</v>
      </c>
    </row>
    <row r="38" spans="1:17" x14ac:dyDescent="0.2">
      <c r="A38" s="377">
        <v>12380</v>
      </c>
      <c r="B38" s="553" t="s">
        <v>130</v>
      </c>
      <c r="C38" s="307" t="s">
        <v>129</v>
      </c>
      <c r="D38" s="504" t="s">
        <v>4</v>
      </c>
      <c r="E38" s="554">
        <v>1</v>
      </c>
      <c r="F38" s="554">
        <v>1</v>
      </c>
      <c r="G38" s="554">
        <v>1</v>
      </c>
      <c r="H38" s="554">
        <v>1</v>
      </c>
      <c r="I38" s="554">
        <v>1</v>
      </c>
      <c r="J38" s="554">
        <v>1</v>
      </c>
      <c r="K38" s="554">
        <v>1</v>
      </c>
      <c r="L38" s="554">
        <v>1</v>
      </c>
      <c r="M38" s="554">
        <v>1</v>
      </c>
      <c r="N38" s="554">
        <v>1</v>
      </c>
      <c r="O38" s="554">
        <v>1</v>
      </c>
    </row>
    <row r="39" spans="1:17" x14ac:dyDescent="0.2">
      <c r="A39" s="377">
        <v>12700</v>
      </c>
      <c r="B39" s="553" t="s">
        <v>174</v>
      </c>
      <c r="C39" s="307" t="s">
        <v>163</v>
      </c>
      <c r="D39" s="504" t="s">
        <v>5</v>
      </c>
      <c r="E39" s="554">
        <v>1</v>
      </c>
      <c r="F39" s="554">
        <v>1</v>
      </c>
      <c r="G39" s="554">
        <v>1</v>
      </c>
      <c r="H39" s="554">
        <v>1</v>
      </c>
      <c r="I39" s="554">
        <v>1</v>
      </c>
      <c r="J39" s="554">
        <v>1</v>
      </c>
      <c r="K39" s="554">
        <v>1</v>
      </c>
      <c r="L39" s="554">
        <v>1</v>
      </c>
      <c r="M39" s="554">
        <v>1</v>
      </c>
      <c r="N39" s="554">
        <v>1</v>
      </c>
      <c r="O39" s="554">
        <v>1</v>
      </c>
      <c r="P39" s="554">
        <v>1</v>
      </c>
    </row>
    <row r="40" spans="1:17" x14ac:dyDescent="0.2">
      <c r="A40" s="377">
        <v>12730</v>
      </c>
      <c r="B40" s="553" t="s">
        <v>168</v>
      </c>
      <c r="C40" s="307" t="s">
        <v>703</v>
      </c>
      <c r="D40" s="504" t="s">
        <v>2</v>
      </c>
    </row>
    <row r="41" spans="1:17" x14ac:dyDescent="0.2">
      <c r="A41" s="377">
        <v>12750</v>
      </c>
      <c r="B41" s="553" t="s">
        <v>175</v>
      </c>
      <c r="C41" s="307" t="s">
        <v>704</v>
      </c>
      <c r="D41" s="504" t="s">
        <v>2</v>
      </c>
      <c r="E41" s="554">
        <v>1</v>
      </c>
      <c r="F41" s="554">
        <v>1</v>
      </c>
      <c r="G41" s="554">
        <v>1</v>
      </c>
      <c r="H41" s="554">
        <v>1</v>
      </c>
      <c r="I41" s="554">
        <v>1</v>
      </c>
      <c r="J41" s="554">
        <v>1</v>
      </c>
      <c r="K41" s="554">
        <v>1</v>
      </c>
      <c r="L41" s="554">
        <v>1</v>
      </c>
      <c r="M41" s="554">
        <v>1</v>
      </c>
      <c r="N41" s="554">
        <v>1</v>
      </c>
      <c r="O41" s="554">
        <v>1</v>
      </c>
      <c r="Q41" s="554">
        <v>1</v>
      </c>
    </row>
    <row r="42" spans="1:17" x14ac:dyDescent="0.2">
      <c r="A42" s="377">
        <v>12850</v>
      </c>
      <c r="B42" s="553" t="s">
        <v>176</v>
      </c>
      <c r="C42" s="307" t="s">
        <v>129</v>
      </c>
      <c r="D42" s="504" t="s">
        <v>4</v>
      </c>
      <c r="E42" s="554">
        <v>1</v>
      </c>
      <c r="F42" s="554">
        <v>1</v>
      </c>
      <c r="G42" s="554">
        <v>1</v>
      </c>
      <c r="H42" s="554">
        <v>1</v>
      </c>
      <c r="I42" s="554">
        <v>1</v>
      </c>
      <c r="J42" s="554">
        <v>1</v>
      </c>
      <c r="K42" s="554">
        <v>1</v>
      </c>
      <c r="L42" s="554">
        <v>1</v>
      </c>
      <c r="M42" s="554">
        <v>1</v>
      </c>
      <c r="N42" s="554">
        <v>1</v>
      </c>
      <c r="O42" s="554">
        <v>1</v>
      </c>
      <c r="P42" s="554">
        <v>1</v>
      </c>
      <c r="Q42" s="554">
        <v>1</v>
      </c>
    </row>
    <row r="43" spans="1:17" x14ac:dyDescent="0.2">
      <c r="A43" s="377">
        <v>12870</v>
      </c>
      <c r="B43" s="553" t="s">
        <v>171</v>
      </c>
      <c r="C43" s="307" t="s">
        <v>703</v>
      </c>
      <c r="D43" s="504" t="s">
        <v>2</v>
      </c>
      <c r="E43" s="554">
        <v>1</v>
      </c>
      <c r="F43" s="554">
        <v>1</v>
      </c>
      <c r="G43" s="554">
        <v>1</v>
      </c>
      <c r="H43" s="554">
        <v>1</v>
      </c>
      <c r="I43" s="554">
        <v>1</v>
      </c>
      <c r="J43" s="554">
        <v>1</v>
      </c>
      <c r="K43" s="554">
        <v>1</v>
      </c>
    </row>
    <row r="44" spans="1:17" x14ac:dyDescent="0.2">
      <c r="A44" s="377">
        <v>12900</v>
      </c>
      <c r="B44" s="553" t="s">
        <v>177</v>
      </c>
      <c r="C44" s="307" t="s">
        <v>293</v>
      </c>
      <c r="D44" s="504" t="s">
        <v>2</v>
      </c>
      <c r="E44" s="554">
        <v>1</v>
      </c>
      <c r="F44" s="554">
        <v>1</v>
      </c>
      <c r="G44" s="554">
        <v>1</v>
      </c>
      <c r="H44" s="554">
        <v>1</v>
      </c>
      <c r="I44" s="554">
        <v>1</v>
      </c>
      <c r="J44" s="554">
        <v>1</v>
      </c>
      <c r="K44" s="554">
        <v>1</v>
      </c>
      <c r="L44" s="554">
        <v>1</v>
      </c>
      <c r="M44" s="554">
        <v>1</v>
      </c>
      <c r="N44" s="554">
        <v>1</v>
      </c>
      <c r="O44" s="554">
        <v>1</v>
      </c>
    </row>
    <row r="45" spans="1:17" x14ac:dyDescent="0.2">
      <c r="A45" s="377">
        <v>12930</v>
      </c>
      <c r="B45" s="553" t="s">
        <v>193</v>
      </c>
      <c r="C45" s="307" t="s">
        <v>127</v>
      </c>
      <c r="D45" s="504" t="s">
        <v>4</v>
      </c>
      <c r="E45" s="554">
        <v>1</v>
      </c>
      <c r="F45" s="554">
        <v>1</v>
      </c>
      <c r="G45" s="554">
        <v>1</v>
      </c>
      <c r="H45" s="554">
        <v>1</v>
      </c>
      <c r="I45" s="554">
        <v>1</v>
      </c>
      <c r="J45" s="554">
        <v>1</v>
      </c>
      <c r="K45" s="554">
        <v>1</v>
      </c>
      <c r="L45" s="554">
        <v>1</v>
      </c>
      <c r="M45" s="554">
        <v>1</v>
      </c>
      <c r="N45" s="554">
        <v>1</v>
      </c>
    </row>
    <row r="46" spans="1:17" x14ac:dyDescent="0.2">
      <c r="A46" s="377">
        <v>12950</v>
      </c>
      <c r="B46" s="553" t="s">
        <v>178</v>
      </c>
      <c r="C46" s="307" t="s">
        <v>293</v>
      </c>
      <c r="D46" s="504" t="s">
        <v>2</v>
      </c>
      <c r="E46" s="554">
        <v>1</v>
      </c>
      <c r="F46" s="554">
        <v>1</v>
      </c>
      <c r="G46" s="554">
        <v>1</v>
      </c>
      <c r="H46" s="554">
        <v>1</v>
      </c>
      <c r="I46" s="554">
        <v>1</v>
      </c>
      <c r="J46" s="554">
        <v>1</v>
      </c>
      <c r="K46" s="554">
        <v>1</v>
      </c>
      <c r="L46" s="554">
        <v>1</v>
      </c>
      <c r="M46" s="554">
        <v>1</v>
      </c>
      <c r="N46" s="554">
        <v>1</v>
      </c>
      <c r="O46" s="554">
        <v>1</v>
      </c>
      <c r="Q46" s="554">
        <v>1</v>
      </c>
    </row>
    <row r="47" spans="1:17" x14ac:dyDescent="0.2">
      <c r="A47" s="377">
        <v>13010</v>
      </c>
      <c r="B47" s="553" t="s">
        <v>179</v>
      </c>
      <c r="C47" s="307" t="s">
        <v>125</v>
      </c>
      <c r="D47" s="504" t="s">
        <v>2</v>
      </c>
      <c r="E47" s="554">
        <v>1</v>
      </c>
      <c r="F47" s="554">
        <v>1</v>
      </c>
      <c r="H47" s="554">
        <v>1</v>
      </c>
      <c r="I47" s="554">
        <v>1</v>
      </c>
      <c r="J47" s="554">
        <v>1</v>
      </c>
      <c r="K47" s="554">
        <v>1</v>
      </c>
    </row>
    <row r="48" spans="1:17" x14ac:dyDescent="0.2">
      <c r="A48" s="377">
        <v>13310</v>
      </c>
      <c r="B48" s="553" t="s">
        <v>182</v>
      </c>
      <c r="C48" s="307" t="s">
        <v>704</v>
      </c>
      <c r="D48" s="504" t="s">
        <v>2</v>
      </c>
      <c r="E48" s="554">
        <v>1</v>
      </c>
      <c r="F48" s="554">
        <v>1</v>
      </c>
      <c r="G48" s="554">
        <v>1</v>
      </c>
      <c r="H48" s="554">
        <v>1</v>
      </c>
      <c r="I48" s="554">
        <v>1</v>
      </c>
      <c r="J48" s="554">
        <v>1</v>
      </c>
      <c r="K48" s="554">
        <v>1</v>
      </c>
      <c r="L48" s="554">
        <v>1</v>
      </c>
      <c r="M48" s="554">
        <v>1</v>
      </c>
    </row>
    <row r="49" spans="1:18" x14ac:dyDescent="0.2">
      <c r="A49" s="377">
        <v>13340</v>
      </c>
      <c r="B49" s="553" t="s">
        <v>183</v>
      </c>
      <c r="C49" s="488" t="s">
        <v>703</v>
      </c>
      <c r="D49" s="504" t="s">
        <v>2</v>
      </c>
      <c r="E49" s="554">
        <v>1</v>
      </c>
      <c r="F49" s="554">
        <v>1</v>
      </c>
      <c r="G49" s="554">
        <v>1</v>
      </c>
      <c r="H49" s="554">
        <v>1</v>
      </c>
      <c r="I49" s="554">
        <v>1</v>
      </c>
      <c r="J49" s="554">
        <v>1</v>
      </c>
      <c r="K49" s="554">
        <v>1</v>
      </c>
      <c r="L49" s="554">
        <v>1</v>
      </c>
      <c r="M49" s="554">
        <v>1</v>
      </c>
      <c r="N49" s="554">
        <v>1</v>
      </c>
      <c r="O49" s="554">
        <v>1</v>
      </c>
      <c r="Q49" s="554">
        <v>1</v>
      </c>
    </row>
    <row r="50" spans="1:18" x14ac:dyDescent="0.2">
      <c r="A50" s="377">
        <v>13450</v>
      </c>
      <c r="B50" s="553" t="s">
        <v>184</v>
      </c>
      <c r="C50" s="307" t="s">
        <v>705</v>
      </c>
      <c r="D50" s="504" t="s">
        <v>2</v>
      </c>
      <c r="E50" s="554">
        <v>1</v>
      </c>
      <c r="F50" s="554">
        <v>1</v>
      </c>
      <c r="G50" s="554">
        <v>1</v>
      </c>
      <c r="H50" s="554">
        <v>1</v>
      </c>
      <c r="I50" s="554">
        <v>1</v>
      </c>
      <c r="J50" s="554">
        <v>1</v>
      </c>
      <c r="K50" s="554">
        <v>1</v>
      </c>
      <c r="L50" s="554">
        <v>1</v>
      </c>
      <c r="M50" s="554">
        <v>1</v>
      </c>
      <c r="N50" s="554">
        <v>1</v>
      </c>
      <c r="O50" s="554">
        <v>1</v>
      </c>
    </row>
    <row r="51" spans="1:18" x14ac:dyDescent="0.2">
      <c r="A51" s="377">
        <v>13510</v>
      </c>
      <c r="B51" s="553" t="s">
        <v>357</v>
      </c>
      <c r="C51" s="307" t="s">
        <v>142</v>
      </c>
      <c r="D51" s="504" t="s">
        <v>2</v>
      </c>
      <c r="E51" s="554">
        <v>1</v>
      </c>
      <c r="F51" s="554">
        <v>1</v>
      </c>
      <c r="H51" s="554">
        <v>1</v>
      </c>
      <c r="I51" s="554">
        <v>1</v>
      </c>
      <c r="J51" s="554">
        <v>1</v>
      </c>
      <c r="K51" s="554">
        <v>1</v>
      </c>
      <c r="L51" s="554">
        <v>1</v>
      </c>
      <c r="M51" s="554">
        <v>1</v>
      </c>
      <c r="O51" s="554">
        <v>1</v>
      </c>
      <c r="P51" s="554">
        <v>1</v>
      </c>
    </row>
    <row r="52" spans="1:18" x14ac:dyDescent="0.2">
      <c r="A52" s="377">
        <v>13550</v>
      </c>
      <c r="B52" s="553" t="s">
        <v>185</v>
      </c>
      <c r="C52" s="307" t="s">
        <v>125</v>
      </c>
      <c r="D52" s="504" t="s">
        <v>2</v>
      </c>
      <c r="E52" s="554">
        <v>1</v>
      </c>
      <c r="F52" s="554">
        <v>1</v>
      </c>
      <c r="H52" s="554">
        <v>1</v>
      </c>
      <c r="I52" s="554">
        <v>1</v>
      </c>
      <c r="J52" s="554">
        <v>1</v>
      </c>
      <c r="K52" s="554">
        <v>1</v>
      </c>
      <c r="L52" s="554">
        <v>1</v>
      </c>
      <c r="M52" s="554">
        <v>1</v>
      </c>
      <c r="N52" s="554">
        <v>1</v>
      </c>
      <c r="O52" s="554">
        <v>1</v>
      </c>
      <c r="P52" s="554">
        <v>1</v>
      </c>
      <c r="Q52" s="554">
        <v>1</v>
      </c>
      <c r="R52" s="554">
        <v>1</v>
      </c>
    </row>
    <row r="53" spans="1:18" x14ac:dyDescent="0.2">
      <c r="A53" s="377">
        <v>13660</v>
      </c>
      <c r="B53" s="553" t="s">
        <v>186</v>
      </c>
      <c r="C53" s="307" t="s">
        <v>125</v>
      </c>
      <c r="D53" s="504" t="s">
        <v>2</v>
      </c>
      <c r="E53" s="554">
        <v>1</v>
      </c>
      <c r="F53" s="554">
        <v>1</v>
      </c>
      <c r="G53" s="554">
        <v>1</v>
      </c>
      <c r="H53" s="554">
        <v>1</v>
      </c>
      <c r="I53" s="554">
        <v>1</v>
      </c>
      <c r="J53" s="554">
        <v>1</v>
      </c>
      <c r="K53" s="554">
        <v>1</v>
      </c>
      <c r="L53" s="554">
        <v>1</v>
      </c>
      <c r="M53" s="554">
        <v>1</v>
      </c>
      <c r="O53" s="554">
        <v>1</v>
      </c>
    </row>
    <row r="54" spans="1:18" x14ac:dyDescent="0.2">
      <c r="A54" s="377">
        <v>13800</v>
      </c>
      <c r="B54" s="553" t="s">
        <v>188</v>
      </c>
      <c r="C54" s="307" t="s">
        <v>129</v>
      </c>
      <c r="D54" s="504" t="s">
        <v>3</v>
      </c>
      <c r="E54" s="554">
        <v>1</v>
      </c>
      <c r="F54" s="554">
        <v>1</v>
      </c>
      <c r="G54" s="554">
        <v>1</v>
      </c>
      <c r="H54" s="554">
        <v>1</v>
      </c>
      <c r="I54" s="554">
        <v>1</v>
      </c>
      <c r="J54" s="554">
        <v>1</v>
      </c>
      <c r="K54" s="554">
        <v>1</v>
      </c>
      <c r="L54" s="554">
        <v>1</v>
      </c>
      <c r="M54" s="554">
        <v>1</v>
      </c>
      <c r="N54" s="554">
        <v>1</v>
      </c>
      <c r="O54" s="554">
        <v>1</v>
      </c>
    </row>
    <row r="55" spans="1:18" x14ac:dyDescent="0.2">
      <c r="A55" s="377">
        <v>13850</v>
      </c>
      <c r="B55" s="553" t="s">
        <v>189</v>
      </c>
      <c r="C55" s="307" t="s">
        <v>705</v>
      </c>
      <c r="D55" s="504" t="s">
        <v>2</v>
      </c>
    </row>
    <row r="56" spans="1:18" x14ac:dyDescent="0.2">
      <c r="A56" s="377">
        <v>13910</v>
      </c>
      <c r="B56" s="553" t="s">
        <v>148</v>
      </c>
      <c r="C56" s="307" t="s">
        <v>704</v>
      </c>
      <c r="D56" s="504" t="s">
        <v>2</v>
      </c>
      <c r="E56" s="554">
        <v>1</v>
      </c>
      <c r="F56" s="554">
        <v>1</v>
      </c>
      <c r="G56" s="554">
        <v>1</v>
      </c>
      <c r="H56" s="554">
        <v>1</v>
      </c>
      <c r="I56" s="554">
        <v>1</v>
      </c>
      <c r="J56" s="554">
        <v>1</v>
      </c>
      <c r="K56" s="554">
        <v>1</v>
      </c>
      <c r="M56" s="554">
        <v>1</v>
      </c>
    </row>
    <row r="57" spans="1:18" x14ac:dyDescent="0.2">
      <c r="A57" s="377">
        <v>14000</v>
      </c>
      <c r="B57" s="553" t="s">
        <v>191</v>
      </c>
      <c r="C57" s="307" t="s">
        <v>190</v>
      </c>
      <c r="D57" s="504" t="s">
        <v>4</v>
      </c>
      <c r="E57" s="554">
        <v>1</v>
      </c>
      <c r="F57" s="554">
        <v>1</v>
      </c>
      <c r="G57" s="554">
        <v>1</v>
      </c>
      <c r="H57" s="554">
        <v>1</v>
      </c>
      <c r="I57" s="554">
        <v>1</v>
      </c>
      <c r="J57" s="554">
        <v>1</v>
      </c>
      <c r="K57" s="554">
        <v>1</v>
      </c>
      <c r="L57" s="554">
        <v>1</v>
      </c>
      <c r="M57" s="554">
        <v>1</v>
      </c>
      <c r="N57" s="554">
        <v>1</v>
      </c>
      <c r="O57" s="554">
        <v>1</v>
      </c>
    </row>
    <row r="58" spans="1:18" x14ac:dyDescent="0.2">
      <c r="A58" s="377">
        <v>14100</v>
      </c>
      <c r="B58" s="553" t="s">
        <v>192</v>
      </c>
      <c r="C58" s="307" t="s">
        <v>190</v>
      </c>
      <c r="D58" s="504" t="s">
        <v>4</v>
      </c>
      <c r="E58" s="554">
        <v>1</v>
      </c>
      <c r="F58" s="554">
        <v>1</v>
      </c>
      <c r="G58" s="554">
        <v>1</v>
      </c>
      <c r="H58" s="554">
        <v>1</v>
      </c>
      <c r="I58" s="554">
        <v>1</v>
      </c>
      <c r="J58" s="554">
        <v>1</v>
      </c>
      <c r="K58" s="554">
        <v>1</v>
      </c>
      <c r="L58" s="554">
        <v>1</v>
      </c>
      <c r="M58" s="554">
        <v>1</v>
      </c>
    </row>
    <row r="59" spans="1:18" x14ac:dyDescent="0.2">
      <c r="A59" s="377">
        <v>14170</v>
      </c>
      <c r="B59" s="553" t="s">
        <v>128</v>
      </c>
      <c r="C59" s="307" t="s">
        <v>127</v>
      </c>
      <c r="D59" s="504" t="s">
        <v>4</v>
      </c>
      <c r="E59" s="554">
        <v>1</v>
      </c>
      <c r="F59" s="554">
        <v>1</v>
      </c>
      <c r="G59" s="554">
        <v>1</v>
      </c>
      <c r="H59" s="554">
        <v>1</v>
      </c>
      <c r="I59" s="554">
        <v>1</v>
      </c>
      <c r="J59" s="554">
        <v>1</v>
      </c>
      <c r="K59" s="554">
        <v>1</v>
      </c>
      <c r="L59" s="554">
        <v>1</v>
      </c>
      <c r="M59" s="554">
        <v>1</v>
      </c>
      <c r="N59" s="554">
        <v>1</v>
      </c>
      <c r="O59" s="554">
        <v>1</v>
      </c>
      <c r="P59" s="554">
        <v>1</v>
      </c>
    </row>
    <row r="60" spans="1:18" x14ac:dyDescent="0.2">
      <c r="A60" s="377">
        <v>14200</v>
      </c>
      <c r="B60" s="553" t="s">
        <v>194</v>
      </c>
      <c r="C60" s="307" t="s">
        <v>125</v>
      </c>
      <c r="D60" s="504" t="s">
        <v>2</v>
      </c>
      <c r="E60" s="554">
        <v>1</v>
      </c>
      <c r="F60" s="554">
        <v>1</v>
      </c>
      <c r="G60" s="554">
        <v>1</v>
      </c>
      <c r="H60" s="554">
        <v>1</v>
      </c>
      <c r="I60" s="554">
        <v>1</v>
      </c>
      <c r="J60" s="554">
        <v>1</v>
      </c>
      <c r="K60" s="554">
        <v>1</v>
      </c>
      <c r="L60" s="554">
        <v>1</v>
      </c>
      <c r="M60" s="554">
        <v>1</v>
      </c>
      <c r="N60" s="554">
        <v>1</v>
      </c>
      <c r="O60" s="554">
        <v>1</v>
      </c>
      <c r="P60" s="554">
        <v>1</v>
      </c>
      <c r="Q60" s="554">
        <v>1</v>
      </c>
    </row>
    <row r="61" spans="1:18" x14ac:dyDescent="0.2">
      <c r="A61" s="377">
        <v>14300</v>
      </c>
      <c r="B61" s="553" t="s">
        <v>196</v>
      </c>
      <c r="C61" s="307" t="s">
        <v>142</v>
      </c>
      <c r="D61" s="504" t="s">
        <v>2</v>
      </c>
      <c r="E61" s="554">
        <v>1</v>
      </c>
      <c r="F61" s="554">
        <v>1</v>
      </c>
      <c r="G61" s="554">
        <v>1</v>
      </c>
      <c r="H61" s="554">
        <v>1</v>
      </c>
      <c r="I61" s="554">
        <v>1</v>
      </c>
      <c r="J61" s="554">
        <v>1</v>
      </c>
      <c r="K61" s="554">
        <v>1</v>
      </c>
      <c r="L61" s="554">
        <v>1</v>
      </c>
      <c r="M61" s="554">
        <v>1</v>
      </c>
      <c r="N61" s="554">
        <v>1</v>
      </c>
      <c r="O61" s="554">
        <v>1</v>
      </c>
      <c r="Q61" s="554">
        <v>1</v>
      </c>
    </row>
    <row r="62" spans="1:18" x14ac:dyDescent="0.2">
      <c r="A62" s="377">
        <v>14350</v>
      </c>
      <c r="B62" s="553" t="s">
        <v>197</v>
      </c>
      <c r="C62" s="307" t="s">
        <v>294</v>
      </c>
      <c r="D62" s="504" t="s">
        <v>5</v>
      </c>
      <c r="E62" s="554">
        <v>1</v>
      </c>
      <c r="F62" s="554">
        <v>1</v>
      </c>
      <c r="G62" s="554">
        <v>1</v>
      </c>
      <c r="H62" s="554">
        <v>1</v>
      </c>
      <c r="I62" s="554">
        <v>1</v>
      </c>
      <c r="J62" s="554">
        <v>1</v>
      </c>
      <c r="K62" s="554">
        <v>1</v>
      </c>
      <c r="L62" s="554">
        <v>1</v>
      </c>
      <c r="M62" s="554">
        <v>1</v>
      </c>
      <c r="N62" s="554">
        <v>1</v>
      </c>
      <c r="O62" s="554">
        <v>1</v>
      </c>
    </row>
    <row r="63" spans="1:18" x14ac:dyDescent="0.2">
      <c r="A63" s="377">
        <v>14400</v>
      </c>
      <c r="B63" s="553" t="s">
        <v>198</v>
      </c>
      <c r="C63" s="307" t="s">
        <v>291</v>
      </c>
      <c r="D63" s="504" t="s">
        <v>3</v>
      </c>
      <c r="E63" s="554">
        <v>1</v>
      </c>
      <c r="F63" s="554">
        <v>1</v>
      </c>
      <c r="G63" s="554">
        <v>1</v>
      </c>
      <c r="H63" s="554">
        <v>1</v>
      </c>
      <c r="I63" s="554">
        <v>1</v>
      </c>
      <c r="J63" s="554">
        <v>1</v>
      </c>
      <c r="K63" s="554">
        <v>1</v>
      </c>
      <c r="L63" s="554">
        <v>1</v>
      </c>
      <c r="M63" s="554">
        <v>1</v>
      </c>
    </row>
    <row r="64" spans="1:18" x14ac:dyDescent="0.2">
      <c r="A64" s="377">
        <v>14500</v>
      </c>
      <c r="B64" s="553" t="s">
        <v>199</v>
      </c>
      <c r="C64" s="307" t="s">
        <v>190</v>
      </c>
      <c r="D64" s="504" t="s">
        <v>4</v>
      </c>
      <c r="E64" s="554">
        <v>1</v>
      </c>
      <c r="F64" s="554">
        <v>1</v>
      </c>
      <c r="G64" s="554">
        <v>1</v>
      </c>
      <c r="H64" s="554">
        <v>1</v>
      </c>
      <c r="I64" s="554">
        <v>1</v>
      </c>
      <c r="J64" s="554">
        <v>1</v>
      </c>
      <c r="K64" s="554">
        <v>1</v>
      </c>
      <c r="L64" s="554">
        <v>1</v>
      </c>
      <c r="M64" s="554">
        <v>1</v>
      </c>
      <c r="N64" s="554">
        <v>1</v>
      </c>
      <c r="O64" s="554">
        <v>1</v>
      </c>
    </row>
    <row r="65" spans="1:19" x14ac:dyDescent="0.2">
      <c r="A65" s="377">
        <v>14550</v>
      </c>
      <c r="B65" s="553" t="s">
        <v>200</v>
      </c>
      <c r="C65" s="307" t="s">
        <v>131</v>
      </c>
      <c r="D65" s="504" t="s">
        <v>5</v>
      </c>
      <c r="E65" s="554">
        <v>1</v>
      </c>
      <c r="F65" s="554">
        <v>1</v>
      </c>
      <c r="G65" s="554">
        <v>1</v>
      </c>
      <c r="H65" s="554">
        <v>1</v>
      </c>
      <c r="I65" s="554">
        <v>1</v>
      </c>
      <c r="J65" s="554">
        <v>1</v>
      </c>
      <c r="K65" s="554">
        <v>1</v>
      </c>
      <c r="L65" s="554">
        <v>1</v>
      </c>
      <c r="M65" s="554">
        <v>1</v>
      </c>
      <c r="N65" s="554">
        <v>1</v>
      </c>
      <c r="O65" s="554">
        <v>1</v>
      </c>
      <c r="P65" s="554">
        <v>1</v>
      </c>
    </row>
    <row r="66" spans="1:19" x14ac:dyDescent="0.2">
      <c r="A66" s="377">
        <v>14600</v>
      </c>
      <c r="B66" s="553" t="s">
        <v>201</v>
      </c>
      <c r="C66" s="307" t="s">
        <v>293</v>
      </c>
      <c r="D66" s="504" t="s">
        <v>2</v>
      </c>
      <c r="E66" s="554">
        <v>1</v>
      </c>
      <c r="F66" s="554">
        <v>1</v>
      </c>
      <c r="G66" s="554">
        <v>1</v>
      </c>
      <c r="H66" s="554">
        <v>1</v>
      </c>
      <c r="I66" s="554">
        <v>1</v>
      </c>
      <c r="J66" s="554">
        <v>1</v>
      </c>
      <c r="K66" s="554">
        <v>1</v>
      </c>
      <c r="L66" s="554">
        <v>1</v>
      </c>
      <c r="M66" s="554">
        <v>1</v>
      </c>
      <c r="N66" s="554">
        <v>1</v>
      </c>
      <c r="O66" s="554">
        <v>1</v>
      </c>
    </row>
    <row r="67" spans="1:19" x14ac:dyDescent="0.2">
      <c r="A67" s="377">
        <v>14650</v>
      </c>
      <c r="B67" s="553" t="s">
        <v>202</v>
      </c>
      <c r="C67" s="307" t="s">
        <v>163</v>
      </c>
      <c r="D67" s="504" t="s">
        <v>3</v>
      </c>
      <c r="E67" s="554">
        <v>1</v>
      </c>
      <c r="F67" s="554">
        <v>1</v>
      </c>
      <c r="G67" s="554">
        <v>1</v>
      </c>
      <c r="H67" s="554">
        <v>1</v>
      </c>
      <c r="I67" s="554">
        <v>1</v>
      </c>
      <c r="J67" s="554">
        <v>1</v>
      </c>
      <c r="K67" s="554">
        <v>1</v>
      </c>
      <c r="L67" s="554">
        <v>1</v>
      </c>
      <c r="M67" s="554">
        <v>1</v>
      </c>
      <c r="N67" s="554">
        <v>1</v>
      </c>
      <c r="O67" s="554">
        <v>1</v>
      </c>
      <c r="P67" s="554">
        <v>1</v>
      </c>
    </row>
    <row r="68" spans="1:19" x14ac:dyDescent="0.2">
      <c r="A68" s="377">
        <v>14700</v>
      </c>
      <c r="B68" s="553" t="s">
        <v>203</v>
      </c>
      <c r="C68" s="307" t="s">
        <v>190</v>
      </c>
      <c r="D68" s="504" t="s">
        <v>4</v>
      </c>
      <c r="E68" s="554">
        <v>1</v>
      </c>
      <c r="F68" s="554">
        <v>1</v>
      </c>
      <c r="G68" s="554">
        <v>1</v>
      </c>
      <c r="H68" s="554">
        <v>1</v>
      </c>
      <c r="I68" s="554">
        <v>1</v>
      </c>
      <c r="J68" s="554">
        <v>1</v>
      </c>
      <c r="K68" s="554">
        <v>1</v>
      </c>
      <c r="L68" s="554">
        <v>1</v>
      </c>
      <c r="M68" s="554">
        <v>1</v>
      </c>
      <c r="N68" s="554">
        <v>1</v>
      </c>
      <c r="O68" s="554">
        <v>1</v>
      </c>
    </row>
    <row r="69" spans="1:19" x14ac:dyDescent="0.2">
      <c r="A69" s="377">
        <v>14750</v>
      </c>
      <c r="B69" s="553" t="s">
        <v>204</v>
      </c>
      <c r="C69" s="307" t="s">
        <v>705</v>
      </c>
      <c r="D69" s="504" t="s">
        <v>2</v>
      </c>
      <c r="E69" s="554">
        <v>1</v>
      </c>
      <c r="F69" s="554">
        <v>1</v>
      </c>
      <c r="G69" s="554">
        <v>1</v>
      </c>
      <c r="H69" s="554">
        <v>1</v>
      </c>
      <c r="I69" s="554">
        <v>1</v>
      </c>
      <c r="J69" s="554">
        <v>1</v>
      </c>
      <c r="P69" s="554">
        <v>1</v>
      </c>
    </row>
    <row r="70" spans="1:19" x14ac:dyDescent="0.2">
      <c r="A70" s="377">
        <v>14850</v>
      </c>
      <c r="B70" s="553" t="s">
        <v>205</v>
      </c>
      <c r="C70" s="307" t="s">
        <v>131</v>
      </c>
      <c r="D70" s="504" t="s">
        <v>5</v>
      </c>
      <c r="E70" s="554">
        <v>1</v>
      </c>
      <c r="F70" s="554">
        <v>1</v>
      </c>
      <c r="G70" s="554">
        <v>1</v>
      </c>
      <c r="H70" s="554">
        <v>1</v>
      </c>
      <c r="I70" s="554">
        <v>1</v>
      </c>
      <c r="J70" s="554">
        <v>1</v>
      </c>
      <c r="K70" s="554">
        <v>1</v>
      </c>
      <c r="L70" s="554">
        <v>1</v>
      </c>
      <c r="M70" s="554">
        <v>1</v>
      </c>
      <c r="N70" s="554">
        <v>1</v>
      </c>
      <c r="O70" s="554">
        <v>1</v>
      </c>
      <c r="P70" s="554">
        <v>1</v>
      </c>
      <c r="Q70" s="554">
        <v>1</v>
      </c>
      <c r="R70" s="554">
        <v>1</v>
      </c>
      <c r="S70" s="554">
        <v>1</v>
      </c>
    </row>
    <row r="71" spans="1:19" x14ac:dyDescent="0.2">
      <c r="A71" s="377">
        <v>14870</v>
      </c>
      <c r="B71" s="553" t="s">
        <v>206</v>
      </c>
      <c r="C71" s="307" t="s">
        <v>293</v>
      </c>
      <c r="D71" s="504" t="s">
        <v>2</v>
      </c>
      <c r="E71" s="554">
        <v>1</v>
      </c>
      <c r="F71" s="554">
        <v>1</v>
      </c>
      <c r="H71" s="554">
        <v>1</v>
      </c>
      <c r="I71" s="554">
        <v>1</v>
      </c>
      <c r="J71" s="554">
        <v>1</v>
      </c>
      <c r="K71" s="554">
        <v>1</v>
      </c>
    </row>
    <row r="72" spans="1:19" x14ac:dyDescent="0.2">
      <c r="A72" s="377">
        <v>14900</v>
      </c>
      <c r="B72" s="553" t="s">
        <v>207</v>
      </c>
      <c r="C72" s="307" t="s">
        <v>129</v>
      </c>
      <c r="D72" s="504" t="s">
        <v>4</v>
      </c>
      <c r="E72" s="554">
        <v>1</v>
      </c>
      <c r="F72" s="554">
        <v>1</v>
      </c>
      <c r="G72" s="554">
        <v>1</v>
      </c>
      <c r="H72" s="554">
        <v>1</v>
      </c>
      <c r="I72" s="554">
        <v>1</v>
      </c>
      <c r="J72" s="554">
        <v>1</v>
      </c>
      <c r="K72" s="554">
        <v>1</v>
      </c>
      <c r="L72" s="554">
        <v>1</v>
      </c>
      <c r="M72" s="554">
        <v>1</v>
      </c>
      <c r="N72" s="554">
        <v>1</v>
      </c>
      <c r="O72" s="554">
        <v>1</v>
      </c>
    </row>
    <row r="73" spans="1:19" x14ac:dyDescent="0.2">
      <c r="A73" s="377">
        <v>14920</v>
      </c>
      <c r="B73" s="553" t="s">
        <v>208</v>
      </c>
      <c r="C73" s="307" t="s">
        <v>125</v>
      </c>
      <c r="D73" s="504" t="s">
        <v>2</v>
      </c>
      <c r="E73" s="554">
        <v>1</v>
      </c>
      <c r="F73" s="554">
        <v>1</v>
      </c>
      <c r="G73" s="554">
        <v>1</v>
      </c>
      <c r="H73" s="554">
        <v>1</v>
      </c>
      <c r="I73" s="554">
        <v>1</v>
      </c>
      <c r="J73" s="554">
        <v>1</v>
      </c>
      <c r="K73" s="554">
        <v>1</v>
      </c>
      <c r="L73" s="554">
        <v>1</v>
      </c>
      <c r="M73" s="554">
        <v>1</v>
      </c>
      <c r="N73" s="554">
        <v>1</v>
      </c>
      <c r="O73" s="554">
        <v>1</v>
      </c>
    </row>
    <row r="74" spans="1:19" x14ac:dyDescent="0.2">
      <c r="A74" s="377">
        <v>14950</v>
      </c>
      <c r="B74" s="553" t="s">
        <v>209</v>
      </c>
      <c r="C74" s="307" t="s">
        <v>142</v>
      </c>
      <c r="D74" s="504" t="s">
        <v>2</v>
      </c>
      <c r="E74" s="554">
        <v>1</v>
      </c>
      <c r="F74" s="554">
        <v>1</v>
      </c>
      <c r="G74" s="554">
        <v>1</v>
      </c>
      <c r="H74" s="554">
        <v>1</v>
      </c>
      <c r="I74" s="554">
        <v>1</v>
      </c>
      <c r="J74" s="554">
        <v>1</v>
      </c>
      <c r="K74" s="554">
        <v>1</v>
      </c>
      <c r="L74" s="554">
        <v>1</v>
      </c>
      <c r="M74" s="554">
        <v>1</v>
      </c>
      <c r="N74" s="554">
        <v>1</v>
      </c>
      <c r="O74" s="554">
        <v>1</v>
      </c>
    </row>
    <row r="75" spans="1:19" x14ac:dyDescent="0.2">
      <c r="A75" s="377">
        <v>15050</v>
      </c>
      <c r="B75" s="553" t="s">
        <v>210</v>
      </c>
      <c r="C75" s="307" t="s">
        <v>163</v>
      </c>
      <c r="D75" s="504" t="s">
        <v>3</v>
      </c>
      <c r="E75" s="554">
        <v>1</v>
      </c>
      <c r="F75" s="554">
        <v>1</v>
      </c>
      <c r="G75" s="554">
        <v>1</v>
      </c>
      <c r="H75" s="554">
        <v>1</v>
      </c>
      <c r="I75" s="554">
        <v>1</v>
      </c>
      <c r="J75" s="554">
        <v>1</v>
      </c>
      <c r="K75" s="554">
        <v>1</v>
      </c>
      <c r="L75" s="554">
        <v>1</v>
      </c>
      <c r="M75" s="554">
        <v>1</v>
      </c>
      <c r="N75" s="554">
        <v>1</v>
      </c>
      <c r="O75" s="554">
        <v>1</v>
      </c>
      <c r="P75" s="554">
        <v>1</v>
      </c>
    </row>
    <row r="76" spans="1:19" x14ac:dyDescent="0.2">
      <c r="A76" s="377">
        <v>15240</v>
      </c>
      <c r="B76" s="553" t="s">
        <v>180</v>
      </c>
      <c r="C76" s="307" t="s">
        <v>294</v>
      </c>
      <c r="D76" s="504" t="s">
        <v>5</v>
      </c>
      <c r="E76" s="554">
        <v>1</v>
      </c>
      <c r="F76" s="554">
        <v>1</v>
      </c>
      <c r="G76" s="554">
        <v>1</v>
      </c>
      <c r="H76" s="554">
        <v>1</v>
      </c>
      <c r="I76" s="554">
        <v>1</v>
      </c>
      <c r="J76" s="554">
        <v>1</v>
      </c>
      <c r="K76" s="554">
        <v>1</v>
      </c>
      <c r="L76" s="554">
        <v>1</v>
      </c>
      <c r="M76" s="554">
        <v>1</v>
      </c>
      <c r="N76" s="554">
        <v>1</v>
      </c>
      <c r="O76" s="554">
        <v>1</v>
      </c>
    </row>
    <row r="77" spans="1:19" x14ac:dyDescent="0.2">
      <c r="A77" s="377">
        <v>15270</v>
      </c>
      <c r="B77" s="553" t="s">
        <v>212</v>
      </c>
      <c r="C77" s="307" t="s">
        <v>293</v>
      </c>
      <c r="D77" s="504" t="s">
        <v>2</v>
      </c>
      <c r="E77" s="554">
        <v>1</v>
      </c>
      <c r="F77" s="554">
        <v>1</v>
      </c>
      <c r="G77" s="554">
        <v>1</v>
      </c>
      <c r="H77" s="554">
        <v>1</v>
      </c>
      <c r="I77" s="554">
        <v>1</v>
      </c>
      <c r="J77" s="554">
        <v>1</v>
      </c>
      <c r="K77" s="554">
        <v>1</v>
      </c>
    </row>
    <row r="78" spans="1:19" x14ac:dyDescent="0.2">
      <c r="A78" s="377">
        <v>15300</v>
      </c>
      <c r="B78" s="553" t="s">
        <v>213</v>
      </c>
      <c r="C78" s="307" t="s">
        <v>125</v>
      </c>
      <c r="D78" s="504" t="s">
        <v>2</v>
      </c>
      <c r="E78" s="554">
        <v>1</v>
      </c>
      <c r="F78" s="554">
        <v>1</v>
      </c>
      <c r="H78" s="554">
        <v>1</v>
      </c>
      <c r="I78" s="554">
        <v>1</v>
      </c>
      <c r="J78" s="554">
        <v>1</v>
      </c>
      <c r="K78" s="554">
        <v>1</v>
      </c>
      <c r="L78" s="554">
        <v>1</v>
      </c>
      <c r="M78" s="554">
        <v>1</v>
      </c>
      <c r="N78" s="554">
        <v>1</v>
      </c>
      <c r="O78" s="554">
        <v>1</v>
      </c>
    </row>
    <row r="79" spans="1:19" x14ac:dyDescent="0.2">
      <c r="A79" s="377">
        <v>15350</v>
      </c>
      <c r="B79" s="553" t="s">
        <v>214</v>
      </c>
      <c r="C79" s="307" t="s">
        <v>190</v>
      </c>
      <c r="D79" s="504" t="s">
        <v>4</v>
      </c>
      <c r="E79" s="554">
        <v>1</v>
      </c>
      <c r="F79" s="554">
        <v>1</v>
      </c>
      <c r="G79" s="554">
        <v>1</v>
      </c>
      <c r="H79" s="554">
        <v>1</v>
      </c>
      <c r="I79" s="554">
        <v>1</v>
      </c>
      <c r="J79" s="554">
        <v>1</v>
      </c>
      <c r="K79" s="554">
        <v>1</v>
      </c>
      <c r="L79" s="554">
        <v>1</v>
      </c>
      <c r="M79" s="554">
        <v>1</v>
      </c>
      <c r="N79" s="554">
        <v>1</v>
      </c>
      <c r="O79" s="554">
        <v>1</v>
      </c>
    </row>
    <row r="80" spans="1:19" x14ac:dyDescent="0.2">
      <c r="A80" s="377">
        <v>15520</v>
      </c>
      <c r="B80" s="553" t="s">
        <v>215</v>
      </c>
      <c r="C80" s="307" t="s">
        <v>703</v>
      </c>
      <c r="D80" s="504" t="s">
        <v>2</v>
      </c>
      <c r="E80" s="554">
        <v>1</v>
      </c>
      <c r="F80" s="554">
        <v>1</v>
      </c>
      <c r="G80" s="554">
        <v>1</v>
      </c>
      <c r="H80" s="554">
        <v>1</v>
      </c>
      <c r="I80" s="554">
        <v>1</v>
      </c>
      <c r="J80" s="554">
        <v>1</v>
      </c>
      <c r="K80" s="554">
        <v>1</v>
      </c>
      <c r="L80" s="554">
        <v>1</v>
      </c>
      <c r="M80" s="554">
        <v>1</v>
      </c>
      <c r="N80" s="554">
        <v>1</v>
      </c>
      <c r="O80" s="554">
        <v>1</v>
      </c>
      <c r="P80" s="554">
        <v>1</v>
      </c>
      <c r="Q80" s="554">
        <v>1</v>
      </c>
      <c r="R80" s="554">
        <v>1</v>
      </c>
    </row>
    <row r="81" spans="1:17" x14ac:dyDescent="0.2">
      <c r="A81" s="377">
        <v>15560</v>
      </c>
      <c r="B81" s="553" t="s">
        <v>195</v>
      </c>
      <c r="C81" s="307" t="s">
        <v>705</v>
      </c>
      <c r="D81" s="504" t="s">
        <v>2</v>
      </c>
      <c r="E81" s="554">
        <v>1</v>
      </c>
      <c r="F81" s="554">
        <v>1</v>
      </c>
      <c r="G81" s="554">
        <v>1</v>
      </c>
      <c r="H81" s="554">
        <v>1</v>
      </c>
      <c r="I81" s="554">
        <v>1</v>
      </c>
      <c r="J81" s="554">
        <v>1</v>
      </c>
      <c r="K81" s="554">
        <v>1</v>
      </c>
    </row>
    <row r="82" spans="1:17" x14ac:dyDescent="0.2">
      <c r="A82" s="377">
        <v>15650</v>
      </c>
      <c r="B82" s="553" t="s">
        <v>216</v>
      </c>
      <c r="C82" s="307" t="s">
        <v>163</v>
      </c>
      <c r="D82" s="504" t="s">
        <v>5</v>
      </c>
      <c r="E82" s="554">
        <v>1</v>
      </c>
      <c r="F82" s="554">
        <v>1</v>
      </c>
      <c r="H82" s="554">
        <v>1</v>
      </c>
      <c r="I82" s="554">
        <v>1</v>
      </c>
      <c r="J82" s="554">
        <v>1</v>
      </c>
      <c r="K82" s="554">
        <v>1</v>
      </c>
      <c r="M82" s="554">
        <v>1</v>
      </c>
      <c r="N82" s="554">
        <v>1</v>
      </c>
      <c r="P82" s="554">
        <v>1</v>
      </c>
    </row>
    <row r="83" spans="1:17" x14ac:dyDescent="0.2">
      <c r="A83" s="377">
        <v>15700</v>
      </c>
      <c r="B83" s="553" t="s">
        <v>217</v>
      </c>
      <c r="C83" s="307" t="s">
        <v>294</v>
      </c>
      <c r="D83" s="504" t="s">
        <v>5</v>
      </c>
      <c r="E83" s="554">
        <v>1</v>
      </c>
      <c r="F83" s="554">
        <v>1</v>
      </c>
      <c r="H83" s="554">
        <v>1</v>
      </c>
      <c r="I83" s="554">
        <v>1</v>
      </c>
      <c r="J83" s="554">
        <v>1</v>
      </c>
      <c r="K83" s="554">
        <v>1</v>
      </c>
      <c r="L83" s="554">
        <v>1</v>
      </c>
      <c r="M83" s="554">
        <v>1</v>
      </c>
    </row>
    <row r="84" spans="1:17" x14ac:dyDescent="0.2">
      <c r="A84" s="377">
        <v>15750</v>
      </c>
      <c r="B84" s="553" t="s">
        <v>218</v>
      </c>
      <c r="C84" s="307" t="s">
        <v>125</v>
      </c>
      <c r="D84" s="504" t="s">
        <v>2</v>
      </c>
      <c r="E84" s="554">
        <v>1</v>
      </c>
      <c r="F84" s="554">
        <v>1</v>
      </c>
      <c r="G84" s="554">
        <v>1</v>
      </c>
      <c r="H84" s="554">
        <v>1</v>
      </c>
      <c r="I84" s="554">
        <v>1</v>
      </c>
      <c r="J84" s="554">
        <v>1</v>
      </c>
      <c r="K84" s="554">
        <v>1</v>
      </c>
      <c r="L84" s="554">
        <v>1</v>
      </c>
      <c r="M84" s="554">
        <v>1</v>
      </c>
      <c r="N84" s="554">
        <v>1</v>
      </c>
      <c r="O84" s="554">
        <v>1</v>
      </c>
      <c r="P84" s="554">
        <v>1</v>
      </c>
    </row>
    <row r="85" spans="1:17" x14ac:dyDescent="0.2">
      <c r="A85" s="377">
        <v>15800</v>
      </c>
      <c r="B85" s="553" t="s">
        <v>219</v>
      </c>
      <c r="C85" s="307" t="s">
        <v>705</v>
      </c>
      <c r="D85" s="504" t="s">
        <v>2</v>
      </c>
      <c r="E85" s="554">
        <v>1</v>
      </c>
      <c r="F85" s="554">
        <v>1</v>
      </c>
      <c r="H85" s="554">
        <v>1</v>
      </c>
      <c r="I85" s="554">
        <v>1</v>
      </c>
      <c r="J85" s="554">
        <v>1</v>
      </c>
      <c r="K85" s="554">
        <v>1</v>
      </c>
      <c r="L85" s="554">
        <v>1</v>
      </c>
      <c r="M85" s="554">
        <v>1</v>
      </c>
      <c r="N85" s="554">
        <v>1</v>
      </c>
      <c r="O85" s="554">
        <v>1</v>
      </c>
    </row>
    <row r="86" spans="1:17" x14ac:dyDescent="0.2">
      <c r="A86" s="377">
        <v>15850</v>
      </c>
      <c r="B86" s="553" t="s">
        <v>220</v>
      </c>
      <c r="C86" s="307" t="s">
        <v>293</v>
      </c>
      <c r="D86" s="504" t="s">
        <v>2</v>
      </c>
      <c r="E86" s="554">
        <v>1</v>
      </c>
      <c r="F86" s="554">
        <v>1</v>
      </c>
      <c r="G86" s="554">
        <v>1</v>
      </c>
      <c r="H86" s="554">
        <v>1</v>
      </c>
      <c r="I86" s="554">
        <v>1</v>
      </c>
      <c r="J86" s="554">
        <v>1</v>
      </c>
      <c r="K86" s="554">
        <v>1</v>
      </c>
      <c r="L86" s="554">
        <v>1</v>
      </c>
      <c r="M86" s="554">
        <v>1</v>
      </c>
      <c r="N86" s="554">
        <v>1</v>
      </c>
      <c r="O86" s="554">
        <v>1</v>
      </c>
      <c r="P86" s="554">
        <v>1</v>
      </c>
      <c r="Q86" s="554">
        <v>1</v>
      </c>
    </row>
    <row r="87" spans="1:17" x14ac:dyDescent="0.2">
      <c r="A87" s="377">
        <v>15900</v>
      </c>
      <c r="B87" s="553" t="s">
        <v>221</v>
      </c>
      <c r="C87" s="307" t="s">
        <v>163</v>
      </c>
      <c r="D87" s="504" t="s">
        <v>3</v>
      </c>
      <c r="E87" s="554">
        <v>1</v>
      </c>
      <c r="F87" s="554">
        <v>1</v>
      </c>
      <c r="G87" s="554">
        <v>1</v>
      </c>
      <c r="H87" s="554">
        <v>1</v>
      </c>
      <c r="I87" s="554">
        <v>1</v>
      </c>
      <c r="J87" s="554">
        <v>1</v>
      </c>
      <c r="K87" s="554">
        <v>1</v>
      </c>
      <c r="L87" s="554">
        <v>1</v>
      </c>
      <c r="M87" s="554">
        <v>1</v>
      </c>
      <c r="N87" s="554">
        <v>1</v>
      </c>
      <c r="O87" s="554">
        <v>1</v>
      </c>
      <c r="P87" s="554">
        <v>1</v>
      </c>
    </row>
    <row r="88" spans="1:17" x14ac:dyDescent="0.2">
      <c r="A88" s="377">
        <v>15950</v>
      </c>
      <c r="B88" s="553" t="s">
        <v>222</v>
      </c>
      <c r="C88" s="307" t="s">
        <v>190</v>
      </c>
      <c r="D88" s="504" t="s">
        <v>4</v>
      </c>
      <c r="E88" s="554">
        <v>1</v>
      </c>
      <c r="F88" s="554">
        <v>1</v>
      </c>
      <c r="G88" s="554">
        <v>1</v>
      </c>
      <c r="H88" s="554">
        <v>1</v>
      </c>
      <c r="I88" s="554">
        <v>1</v>
      </c>
      <c r="J88" s="554">
        <v>1</v>
      </c>
      <c r="K88" s="554">
        <v>1</v>
      </c>
      <c r="L88" s="554">
        <v>1</v>
      </c>
      <c r="M88" s="554">
        <v>1</v>
      </c>
      <c r="N88" s="554">
        <v>1</v>
      </c>
      <c r="O88" s="554">
        <v>1</v>
      </c>
    </row>
    <row r="89" spans="1:17" x14ac:dyDescent="0.2">
      <c r="A89" s="377">
        <v>15990</v>
      </c>
      <c r="B89" s="553" t="s">
        <v>211</v>
      </c>
      <c r="C89" s="307"/>
      <c r="D89" s="504" t="s">
        <v>4</v>
      </c>
      <c r="E89" s="554">
        <v>1</v>
      </c>
      <c r="F89" s="554">
        <v>1</v>
      </c>
      <c r="G89" s="554">
        <v>1</v>
      </c>
      <c r="H89" s="554">
        <v>1</v>
      </c>
      <c r="I89" s="554">
        <v>1</v>
      </c>
      <c r="J89" s="554">
        <v>1</v>
      </c>
      <c r="K89" s="554">
        <v>1</v>
      </c>
      <c r="L89" s="554">
        <v>1</v>
      </c>
      <c r="M89" s="554">
        <v>1</v>
      </c>
      <c r="N89" s="554">
        <v>1</v>
      </c>
      <c r="O89" s="554">
        <v>1</v>
      </c>
      <c r="P89" s="554">
        <v>1</v>
      </c>
      <c r="Q89" s="554">
        <v>1</v>
      </c>
    </row>
    <row r="90" spans="1:17" x14ac:dyDescent="0.2">
      <c r="A90" s="377">
        <v>16100</v>
      </c>
      <c r="B90" s="553" t="s">
        <v>223</v>
      </c>
      <c r="C90" s="307" t="s">
        <v>293</v>
      </c>
      <c r="D90" s="504" t="s">
        <v>2</v>
      </c>
    </row>
    <row r="91" spans="1:17" x14ac:dyDescent="0.2">
      <c r="A91" s="377">
        <v>16150</v>
      </c>
      <c r="B91" s="553" t="s">
        <v>224</v>
      </c>
      <c r="C91" s="307" t="s">
        <v>293</v>
      </c>
      <c r="D91" s="504" t="s">
        <v>2</v>
      </c>
      <c r="E91" s="554">
        <v>1</v>
      </c>
      <c r="F91" s="554">
        <v>1</v>
      </c>
      <c r="G91" s="554">
        <v>1</v>
      </c>
      <c r="H91" s="554">
        <v>1</v>
      </c>
      <c r="I91" s="554">
        <v>1</v>
      </c>
      <c r="J91" s="554">
        <v>1</v>
      </c>
      <c r="K91" s="554">
        <v>1</v>
      </c>
      <c r="L91" s="554">
        <v>1</v>
      </c>
      <c r="M91" s="554">
        <v>1</v>
      </c>
      <c r="N91" s="554">
        <v>1</v>
      </c>
      <c r="O91" s="554">
        <v>1</v>
      </c>
    </row>
    <row r="92" spans="1:17" x14ac:dyDescent="0.2">
      <c r="A92" s="377">
        <v>16200</v>
      </c>
      <c r="B92" s="553" t="s">
        <v>226</v>
      </c>
      <c r="C92" s="307" t="s">
        <v>293</v>
      </c>
      <c r="D92" s="504" t="s">
        <v>2</v>
      </c>
      <c r="E92" s="554">
        <v>1</v>
      </c>
      <c r="F92" s="554">
        <v>1</v>
      </c>
      <c r="G92" s="554">
        <v>1</v>
      </c>
      <c r="H92" s="554">
        <v>1</v>
      </c>
      <c r="I92" s="554">
        <v>1</v>
      </c>
      <c r="J92" s="554">
        <v>1</v>
      </c>
      <c r="K92" s="554">
        <v>1</v>
      </c>
      <c r="L92" s="554">
        <v>1</v>
      </c>
      <c r="M92" s="554">
        <v>1</v>
      </c>
      <c r="N92" s="554">
        <v>1</v>
      </c>
      <c r="O92" s="554">
        <v>1</v>
      </c>
      <c r="P92" s="554">
        <v>1</v>
      </c>
    </row>
    <row r="93" spans="1:17" x14ac:dyDescent="0.2">
      <c r="A93" s="377">
        <v>16260</v>
      </c>
      <c r="B93" s="553" t="s">
        <v>227</v>
      </c>
      <c r="C93" s="307" t="s">
        <v>129</v>
      </c>
      <c r="D93" s="504" t="s">
        <v>4</v>
      </c>
      <c r="E93" s="554">
        <v>1</v>
      </c>
      <c r="F93" s="554">
        <v>1</v>
      </c>
      <c r="G93" s="554">
        <v>1</v>
      </c>
      <c r="H93" s="554">
        <v>1</v>
      </c>
      <c r="I93" s="554">
        <v>1</v>
      </c>
      <c r="J93" s="554">
        <v>1</v>
      </c>
      <c r="K93" s="554">
        <v>1</v>
      </c>
      <c r="L93" s="554">
        <v>1</v>
      </c>
      <c r="M93" s="554">
        <v>1</v>
      </c>
      <c r="N93" s="554">
        <v>1</v>
      </c>
      <c r="O93" s="554">
        <v>1</v>
      </c>
    </row>
    <row r="94" spans="1:17" x14ac:dyDescent="0.2">
      <c r="A94" s="377">
        <v>16350</v>
      </c>
      <c r="B94" s="553" t="s">
        <v>228</v>
      </c>
      <c r="C94" s="307" t="s">
        <v>129</v>
      </c>
      <c r="D94" s="504" t="s">
        <v>4</v>
      </c>
      <c r="E94" s="554">
        <v>1</v>
      </c>
      <c r="F94" s="554">
        <v>1</v>
      </c>
      <c r="G94" s="554">
        <v>1</v>
      </c>
      <c r="H94" s="554">
        <v>1</v>
      </c>
      <c r="I94" s="554">
        <v>1</v>
      </c>
      <c r="J94" s="554">
        <v>1</v>
      </c>
      <c r="K94" s="554">
        <v>1</v>
      </c>
      <c r="L94" s="554">
        <v>1</v>
      </c>
      <c r="M94" s="554">
        <v>1</v>
      </c>
      <c r="N94" s="554">
        <v>1</v>
      </c>
      <c r="O94" s="554">
        <v>1</v>
      </c>
    </row>
    <row r="95" spans="1:17" x14ac:dyDescent="0.2">
      <c r="A95" s="377">
        <v>16380</v>
      </c>
      <c r="B95" s="553" t="s">
        <v>187</v>
      </c>
      <c r="C95" s="307" t="s">
        <v>294</v>
      </c>
      <c r="D95" s="504" t="s">
        <v>5</v>
      </c>
      <c r="E95" s="554">
        <v>1</v>
      </c>
      <c r="F95" s="554">
        <v>1</v>
      </c>
      <c r="G95" s="554">
        <v>1</v>
      </c>
      <c r="H95" s="554">
        <v>1</v>
      </c>
      <c r="I95" s="554">
        <v>1</v>
      </c>
      <c r="J95" s="554">
        <v>1</v>
      </c>
      <c r="K95" s="554">
        <v>1</v>
      </c>
      <c r="L95" s="554">
        <v>1</v>
      </c>
      <c r="M95" s="554">
        <v>1</v>
      </c>
      <c r="N95" s="554">
        <v>1</v>
      </c>
      <c r="O95" s="554">
        <v>1</v>
      </c>
      <c r="P95" s="554">
        <v>1</v>
      </c>
    </row>
    <row r="96" spans="1:17" x14ac:dyDescent="0.2">
      <c r="A96" s="377">
        <v>16400</v>
      </c>
      <c r="B96" s="553" t="s">
        <v>229</v>
      </c>
      <c r="C96" s="307" t="s">
        <v>163</v>
      </c>
      <c r="D96" s="504" t="s">
        <v>3</v>
      </c>
      <c r="E96" s="554">
        <v>1</v>
      </c>
      <c r="F96" s="554">
        <v>1</v>
      </c>
      <c r="G96" s="554">
        <v>1</v>
      </c>
      <c r="H96" s="554">
        <v>1</v>
      </c>
      <c r="I96" s="554">
        <v>1</v>
      </c>
      <c r="J96" s="554">
        <v>1</v>
      </c>
      <c r="K96" s="554">
        <v>1</v>
      </c>
      <c r="L96" s="554">
        <v>1</v>
      </c>
      <c r="M96" s="554">
        <v>1</v>
      </c>
      <c r="N96" s="554">
        <v>1</v>
      </c>
      <c r="O96" s="554">
        <v>1</v>
      </c>
    </row>
    <row r="97" spans="1:22" x14ac:dyDescent="0.2">
      <c r="A97" s="377">
        <v>16490</v>
      </c>
      <c r="B97" s="553" t="s">
        <v>225</v>
      </c>
      <c r="C97" s="307" t="s">
        <v>704</v>
      </c>
      <c r="D97" s="504" t="s">
        <v>2</v>
      </c>
      <c r="E97" s="554">
        <v>1</v>
      </c>
      <c r="F97" s="554">
        <v>1</v>
      </c>
      <c r="G97" s="554">
        <v>1</v>
      </c>
      <c r="H97" s="554">
        <v>1</v>
      </c>
      <c r="I97" s="554">
        <v>1</v>
      </c>
      <c r="J97" s="554">
        <v>1</v>
      </c>
      <c r="K97" s="554">
        <v>1</v>
      </c>
      <c r="L97" s="554">
        <v>1</v>
      </c>
      <c r="M97" s="554">
        <v>1</v>
      </c>
      <c r="N97" s="554">
        <v>1</v>
      </c>
      <c r="O97" s="554">
        <v>1</v>
      </c>
      <c r="P97" s="554">
        <v>1</v>
      </c>
    </row>
    <row r="98" spans="1:22" x14ac:dyDescent="0.2">
      <c r="A98" s="377">
        <v>16550</v>
      </c>
      <c r="B98" s="553" t="s">
        <v>230</v>
      </c>
      <c r="C98" s="307" t="s">
        <v>127</v>
      </c>
      <c r="D98" s="504" t="s">
        <v>4</v>
      </c>
      <c r="E98" s="554">
        <v>1</v>
      </c>
      <c r="F98" s="554">
        <v>1</v>
      </c>
      <c r="G98" s="554">
        <v>1</v>
      </c>
      <c r="H98" s="554">
        <v>1</v>
      </c>
      <c r="I98" s="554">
        <v>1</v>
      </c>
      <c r="J98" s="554">
        <v>1</v>
      </c>
      <c r="K98" s="554">
        <v>1</v>
      </c>
      <c r="L98" s="554">
        <v>1</v>
      </c>
      <c r="M98" s="554">
        <v>1</v>
      </c>
      <c r="N98" s="554">
        <v>1</v>
      </c>
      <c r="O98" s="554">
        <v>1</v>
      </c>
    </row>
    <row r="99" spans="1:22" x14ac:dyDescent="0.2">
      <c r="A99" s="377">
        <v>16610</v>
      </c>
      <c r="B99" s="553" t="s">
        <v>231</v>
      </c>
      <c r="C99" s="307" t="s">
        <v>131</v>
      </c>
      <c r="D99" s="504" t="s">
        <v>5</v>
      </c>
      <c r="E99" s="554">
        <v>1</v>
      </c>
      <c r="F99" s="554">
        <v>1</v>
      </c>
      <c r="G99" s="554">
        <v>1</v>
      </c>
      <c r="H99" s="554">
        <v>1</v>
      </c>
      <c r="I99" s="554">
        <v>1</v>
      </c>
      <c r="J99" s="554">
        <v>1</v>
      </c>
      <c r="K99" s="554">
        <v>1</v>
      </c>
      <c r="L99" s="554">
        <v>1</v>
      </c>
      <c r="M99" s="554">
        <v>1</v>
      </c>
      <c r="N99" s="554">
        <v>1</v>
      </c>
      <c r="O99" s="554">
        <v>1</v>
      </c>
      <c r="P99" s="554">
        <v>1</v>
      </c>
      <c r="Q99" s="554">
        <v>1</v>
      </c>
      <c r="R99" s="554">
        <v>1</v>
      </c>
      <c r="S99" s="554">
        <v>1</v>
      </c>
      <c r="U99" s="554">
        <v>1</v>
      </c>
      <c r="V99" s="551" t="s">
        <v>358</v>
      </c>
    </row>
    <row r="100" spans="1:22" x14ac:dyDescent="0.2">
      <c r="A100" s="377">
        <v>16700</v>
      </c>
      <c r="B100" s="553" t="s">
        <v>232</v>
      </c>
      <c r="C100" s="307" t="s">
        <v>190</v>
      </c>
      <c r="D100" s="504" t="s">
        <v>4</v>
      </c>
      <c r="E100" s="554">
        <v>1</v>
      </c>
      <c r="F100" s="554">
        <v>1</v>
      </c>
      <c r="G100" s="554">
        <v>1</v>
      </c>
      <c r="H100" s="554">
        <v>1</v>
      </c>
      <c r="I100" s="554">
        <v>1</v>
      </c>
      <c r="J100" s="554">
        <v>1</v>
      </c>
      <c r="K100" s="554">
        <v>1</v>
      </c>
      <c r="L100" s="554">
        <v>1</v>
      </c>
      <c r="M100" s="554">
        <v>1</v>
      </c>
      <c r="N100" s="554">
        <v>1</v>
      </c>
      <c r="O100" s="554">
        <v>1</v>
      </c>
      <c r="P100" s="554">
        <v>1</v>
      </c>
    </row>
    <row r="101" spans="1:22" x14ac:dyDescent="0.2">
      <c r="A101" s="377">
        <v>16900</v>
      </c>
      <c r="B101" s="553" t="s">
        <v>233</v>
      </c>
      <c r="C101" s="307" t="s">
        <v>291</v>
      </c>
      <c r="D101" s="504" t="s">
        <v>3</v>
      </c>
      <c r="E101" s="554">
        <v>1</v>
      </c>
      <c r="F101" s="554">
        <v>1</v>
      </c>
      <c r="G101" s="554">
        <v>1</v>
      </c>
      <c r="H101" s="554">
        <v>1</v>
      </c>
      <c r="I101" s="554">
        <v>1</v>
      </c>
      <c r="J101" s="554">
        <v>1</v>
      </c>
      <c r="K101" s="554">
        <v>1</v>
      </c>
      <c r="L101" s="554">
        <v>1</v>
      </c>
      <c r="M101" s="554">
        <v>1</v>
      </c>
      <c r="N101" s="554">
        <v>1</v>
      </c>
      <c r="O101" s="554">
        <v>1</v>
      </c>
    </row>
    <row r="102" spans="1:22" x14ac:dyDescent="0.2">
      <c r="A102" s="377">
        <v>16950</v>
      </c>
      <c r="B102" s="553" t="s">
        <v>234</v>
      </c>
      <c r="C102" s="307" t="s">
        <v>291</v>
      </c>
      <c r="D102" s="504" t="s">
        <v>3</v>
      </c>
      <c r="E102" s="554">
        <v>1</v>
      </c>
      <c r="F102" s="554">
        <v>1</v>
      </c>
      <c r="G102" s="554">
        <v>1</v>
      </c>
      <c r="H102" s="554">
        <v>1</v>
      </c>
      <c r="I102" s="554">
        <v>1</v>
      </c>
      <c r="J102" s="554">
        <v>1</v>
      </c>
      <c r="K102" s="554">
        <v>1</v>
      </c>
      <c r="L102" s="554">
        <v>1</v>
      </c>
      <c r="M102" s="554">
        <v>1</v>
      </c>
      <c r="N102" s="554">
        <v>1</v>
      </c>
      <c r="O102" s="554">
        <v>1</v>
      </c>
      <c r="U102" s="554">
        <v>1</v>
      </c>
      <c r="V102" s="551" t="s">
        <v>359</v>
      </c>
    </row>
    <row r="103" spans="1:22" x14ac:dyDescent="0.2">
      <c r="A103" s="377">
        <v>17000</v>
      </c>
      <c r="B103" s="553" t="s">
        <v>235</v>
      </c>
      <c r="C103" s="307" t="s">
        <v>163</v>
      </c>
      <c r="D103" s="504" t="s">
        <v>5</v>
      </c>
      <c r="E103" s="554">
        <v>1</v>
      </c>
      <c r="F103" s="554">
        <v>1</v>
      </c>
      <c r="G103" s="554">
        <v>1</v>
      </c>
      <c r="H103" s="554">
        <v>1</v>
      </c>
      <c r="I103" s="554">
        <v>1</v>
      </c>
      <c r="J103" s="554">
        <v>1</v>
      </c>
      <c r="K103" s="554">
        <v>1</v>
      </c>
      <c r="M103" s="554">
        <v>1</v>
      </c>
      <c r="P103" s="554">
        <v>1</v>
      </c>
    </row>
    <row r="104" spans="1:22" x14ac:dyDescent="0.2">
      <c r="A104" s="377">
        <v>17040</v>
      </c>
      <c r="B104" s="553" t="s">
        <v>147</v>
      </c>
      <c r="C104" s="307" t="s">
        <v>704</v>
      </c>
      <c r="D104" s="504" t="s">
        <v>2</v>
      </c>
      <c r="E104" s="554">
        <v>1</v>
      </c>
      <c r="F104" s="554">
        <v>1</v>
      </c>
      <c r="G104" s="554">
        <v>1</v>
      </c>
      <c r="H104" s="554">
        <v>1</v>
      </c>
      <c r="I104" s="554">
        <v>1</v>
      </c>
      <c r="J104" s="554">
        <v>1</v>
      </c>
      <c r="K104" s="554">
        <v>1</v>
      </c>
      <c r="L104" s="554">
        <v>1</v>
      </c>
      <c r="M104" s="554">
        <v>1</v>
      </c>
      <c r="N104" s="554">
        <v>1</v>
      </c>
      <c r="O104" s="554">
        <v>1</v>
      </c>
      <c r="P104" s="554">
        <v>1</v>
      </c>
    </row>
    <row r="105" spans="1:22" x14ac:dyDescent="0.2">
      <c r="A105" s="377">
        <v>17080</v>
      </c>
      <c r="B105" s="553" t="s">
        <v>242</v>
      </c>
      <c r="C105" s="307" t="s">
        <v>142</v>
      </c>
      <c r="D105" s="504" t="s">
        <v>2</v>
      </c>
      <c r="E105" s="554">
        <v>1</v>
      </c>
      <c r="F105" s="554">
        <v>1</v>
      </c>
      <c r="G105" s="554">
        <v>1</v>
      </c>
      <c r="H105" s="554">
        <v>1</v>
      </c>
      <c r="I105" s="554">
        <v>1</v>
      </c>
      <c r="J105" s="554">
        <v>1</v>
      </c>
      <c r="K105" s="554">
        <v>1</v>
      </c>
      <c r="L105" s="554">
        <v>1</v>
      </c>
      <c r="M105" s="554">
        <v>1</v>
      </c>
      <c r="N105" s="554">
        <v>1</v>
      </c>
      <c r="P105" s="554">
        <v>1</v>
      </c>
      <c r="Q105" s="554">
        <v>1</v>
      </c>
    </row>
    <row r="106" spans="1:22" x14ac:dyDescent="0.2">
      <c r="A106" s="377">
        <v>17100</v>
      </c>
      <c r="B106" s="553" t="s">
        <v>236</v>
      </c>
      <c r="C106" s="307"/>
      <c r="D106" s="504" t="s">
        <v>4</v>
      </c>
      <c r="E106" s="554">
        <v>1</v>
      </c>
      <c r="F106" s="554">
        <v>1</v>
      </c>
      <c r="G106" s="554">
        <v>1</v>
      </c>
      <c r="H106" s="554">
        <v>1</v>
      </c>
      <c r="I106" s="554">
        <v>1</v>
      </c>
      <c r="J106" s="554">
        <v>1</v>
      </c>
      <c r="K106" s="554">
        <v>1</v>
      </c>
      <c r="L106" s="554">
        <v>1</v>
      </c>
    </row>
    <row r="107" spans="1:22" x14ac:dyDescent="0.2">
      <c r="A107" s="377">
        <v>17150</v>
      </c>
      <c r="B107" s="553" t="s">
        <v>237</v>
      </c>
      <c r="C107" s="307" t="s">
        <v>127</v>
      </c>
      <c r="D107" s="504" t="s">
        <v>4</v>
      </c>
      <c r="E107" s="554">
        <v>1</v>
      </c>
      <c r="F107" s="554">
        <v>1</v>
      </c>
      <c r="G107" s="554">
        <v>1</v>
      </c>
      <c r="H107" s="554">
        <v>1</v>
      </c>
      <c r="I107" s="554">
        <v>1</v>
      </c>
      <c r="J107" s="554">
        <v>1</v>
      </c>
      <c r="K107" s="554">
        <v>1</v>
      </c>
      <c r="L107" s="554">
        <v>1</v>
      </c>
      <c r="M107" s="554">
        <v>1</v>
      </c>
      <c r="N107" s="554">
        <v>1</v>
      </c>
      <c r="O107" s="554">
        <v>1</v>
      </c>
      <c r="P107" s="554">
        <v>1</v>
      </c>
    </row>
    <row r="108" spans="1:22" x14ac:dyDescent="0.2">
      <c r="A108" s="377">
        <v>17200</v>
      </c>
      <c r="B108" s="553" t="s">
        <v>238</v>
      </c>
      <c r="C108" s="307" t="s">
        <v>127</v>
      </c>
      <c r="D108" s="504" t="s">
        <v>4</v>
      </c>
      <c r="E108" s="554">
        <v>1</v>
      </c>
      <c r="F108" s="554">
        <v>1</v>
      </c>
      <c r="G108" s="554">
        <v>1</v>
      </c>
      <c r="H108" s="554">
        <v>1</v>
      </c>
      <c r="I108" s="554">
        <v>1</v>
      </c>
      <c r="J108" s="554">
        <v>1</v>
      </c>
      <c r="K108" s="554">
        <v>1</v>
      </c>
      <c r="L108" s="554">
        <v>1</v>
      </c>
      <c r="M108" s="554">
        <v>1</v>
      </c>
      <c r="N108" s="554">
        <v>1</v>
      </c>
    </row>
    <row r="109" spans="1:22" x14ac:dyDescent="0.2">
      <c r="A109" s="377">
        <v>17310</v>
      </c>
      <c r="B109" s="553" t="s">
        <v>239</v>
      </c>
      <c r="C109" s="307" t="s">
        <v>125</v>
      </c>
      <c r="D109" s="504" t="s">
        <v>2</v>
      </c>
      <c r="E109" s="554">
        <v>1</v>
      </c>
      <c r="F109" s="554">
        <v>1</v>
      </c>
      <c r="G109" s="554">
        <v>1</v>
      </c>
      <c r="H109" s="554">
        <v>1</v>
      </c>
      <c r="I109" s="554">
        <v>1</v>
      </c>
      <c r="J109" s="554">
        <v>1</v>
      </c>
      <c r="K109" s="554">
        <v>1</v>
      </c>
      <c r="L109" s="554">
        <v>1</v>
      </c>
      <c r="M109" s="554">
        <v>1</v>
      </c>
    </row>
    <row r="110" spans="1:22" x14ac:dyDescent="0.2">
      <c r="A110" s="377">
        <v>17350</v>
      </c>
      <c r="B110" s="553" t="s">
        <v>240</v>
      </c>
      <c r="C110" s="307" t="s">
        <v>142</v>
      </c>
      <c r="D110" s="504" t="s">
        <v>2</v>
      </c>
    </row>
    <row r="111" spans="1:22" x14ac:dyDescent="0.2">
      <c r="A111" s="377">
        <v>17400</v>
      </c>
      <c r="B111" s="553" t="s">
        <v>241</v>
      </c>
      <c r="C111" s="307" t="s">
        <v>125</v>
      </c>
      <c r="D111" s="504" t="s">
        <v>2</v>
      </c>
      <c r="E111" s="554">
        <v>1</v>
      </c>
      <c r="F111" s="554">
        <v>1</v>
      </c>
      <c r="G111" s="554">
        <v>1</v>
      </c>
      <c r="H111" s="554">
        <v>1</v>
      </c>
      <c r="I111" s="554">
        <v>1</v>
      </c>
      <c r="J111" s="554">
        <v>1</v>
      </c>
      <c r="K111" s="554">
        <v>1</v>
      </c>
      <c r="L111" s="554">
        <v>1</v>
      </c>
      <c r="M111" s="554">
        <v>1</v>
      </c>
      <c r="N111" s="554">
        <v>1</v>
      </c>
      <c r="O111" s="554">
        <v>1</v>
      </c>
      <c r="P111" s="554">
        <v>1</v>
      </c>
      <c r="Q111" s="554">
        <v>1</v>
      </c>
    </row>
    <row r="112" spans="1:22" x14ac:dyDescent="0.2">
      <c r="A112" s="377">
        <v>17420</v>
      </c>
      <c r="B112" s="553" t="s">
        <v>136</v>
      </c>
      <c r="C112" s="307" t="s">
        <v>129</v>
      </c>
      <c r="D112" s="504" t="s">
        <v>4</v>
      </c>
      <c r="E112" s="554">
        <v>1</v>
      </c>
      <c r="F112" s="554">
        <v>1</v>
      </c>
      <c r="G112" s="554">
        <v>1</v>
      </c>
      <c r="H112" s="554">
        <v>1</v>
      </c>
      <c r="I112" s="554">
        <v>1</v>
      </c>
      <c r="J112" s="554">
        <v>1</v>
      </c>
      <c r="K112" s="554">
        <v>1</v>
      </c>
      <c r="L112" s="554">
        <v>1</v>
      </c>
      <c r="M112" s="554">
        <v>1</v>
      </c>
      <c r="N112" s="554">
        <v>1</v>
      </c>
      <c r="O112" s="554">
        <v>1</v>
      </c>
      <c r="P112" s="554">
        <v>1</v>
      </c>
    </row>
    <row r="113" spans="1:22" x14ac:dyDescent="0.2">
      <c r="A113" s="377">
        <v>17550</v>
      </c>
      <c r="B113" s="553" t="s">
        <v>243</v>
      </c>
      <c r="C113" s="307" t="s">
        <v>131</v>
      </c>
      <c r="D113" s="504" t="s">
        <v>5</v>
      </c>
      <c r="E113" s="554">
        <v>1</v>
      </c>
      <c r="F113" s="554">
        <v>1</v>
      </c>
      <c r="G113" s="554">
        <v>1</v>
      </c>
      <c r="H113" s="554">
        <v>1</v>
      </c>
      <c r="I113" s="554">
        <v>1</v>
      </c>
      <c r="J113" s="554">
        <v>1</v>
      </c>
      <c r="K113" s="554">
        <v>1</v>
      </c>
      <c r="L113" s="554">
        <v>1</v>
      </c>
      <c r="M113" s="554">
        <v>1</v>
      </c>
      <c r="N113" s="554">
        <v>1</v>
      </c>
      <c r="O113" s="554">
        <v>1</v>
      </c>
      <c r="P113" s="554">
        <v>1</v>
      </c>
    </row>
    <row r="114" spans="1:22" x14ac:dyDescent="0.2">
      <c r="A114" s="377">
        <v>17620</v>
      </c>
      <c r="B114" s="553" t="s">
        <v>244</v>
      </c>
      <c r="C114" s="307" t="s">
        <v>163</v>
      </c>
      <c r="D114" s="504" t="s">
        <v>5</v>
      </c>
      <c r="E114" s="554">
        <v>1</v>
      </c>
      <c r="F114" s="554">
        <v>1</v>
      </c>
      <c r="H114" s="554">
        <v>1</v>
      </c>
      <c r="I114" s="554">
        <v>1</v>
      </c>
      <c r="J114" s="554">
        <v>1</v>
      </c>
      <c r="K114" s="554">
        <v>1</v>
      </c>
    </row>
    <row r="115" spans="1:22" x14ac:dyDescent="0.2">
      <c r="A115" s="377">
        <v>17640</v>
      </c>
      <c r="B115" s="553" t="s">
        <v>245</v>
      </c>
      <c r="C115" s="307" t="s">
        <v>704</v>
      </c>
      <c r="D115" s="504" t="s">
        <v>2</v>
      </c>
      <c r="E115" s="554">
        <v>1</v>
      </c>
      <c r="F115" s="554">
        <v>1</v>
      </c>
      <c r="G115" s="554">
        <v>1</v>
      </c>
      <c r="H115" s="554">
        <v>1</v>
      </c>
      <c r="I115" s="554">
        <v>1</v>
      </c>
      <c r="J115" s="554">
        <v>1</v>
      </c>
      <c r="K115" s="554">
        <v>1</v>
      </c>
      <c r="L115" s="554">
        <v>1</v>
      </c>
      <c r="M115" s="554">
        <v>1</v>
      </c>
      <c r="N115" s="554">
        <v>1</v>
      </c>
      <c r="O115" s="554">
        <v>1</v>
      </c>
    </row>
    <row r="116" spans="1:22" x14ac:dyDescent="0.2">
      <c r="A116" s="377">
        <v>17650</v>
      </c>
      <c r="B116" s="553" t="s">
        <v>246</v>
      </c>
      <c r="C116" s="307" t="s">
        <v>125</v>
      </c>
      <c r="D116" s="504" t="s">
        <v>2</v>
      </c>
      <c r="E116" s="554">
        <v>1</v>
      </c>
      <c r="F116" s="554">
        <v>1</v>
      </c>
      <c r="H116" s="554">
        <v>1</v>
      </c>
      <c r="I116" s="554">
        <v>1</v>
      </c>
      <c r="K116" s="554">
        <v>1</v>
      </c>
      <c r="L116" s="554">
        <v>1</v>
      </c>
      <c r="M116" s="554">
        <v>1</v>
      </c>
    </row>
    <row r="117" spans="1:22" x14ac:dyDescent="0.2">
      <c r="A117" s="377">
        <v>17750</v>
      </c>
      <c r="B117" s="553" t="s">
        <v>247</v>
      </c>
      <c r="C117" s="307" t="s">
        <v>142</v>
      </c>
      <c r="D117" s="504" t="s">
        <v>2</v>
      </c>
      <c r="E117" s="554">
        <v>1</v>
      </c>
      <c r="F117" s="554">
        <v>1</v>
      </c>
      <c r="G117" s="554">
        <v>1</v>
      </c>
      <c r="H117" s="554">
        <v>1</v>
      </c>
      <c r="I117" s="554">
        <v>1</v>
      </c>
      <c r="J117" s="554">
        <v>1</v>
      </c>
      <c r="K117" s="554">
        <v>1</v>
      </c>
      <c r="L117" s="554">
        <v>1</v>
      </c>
      <c r="M117" s="554">
        <v>1</v>
      </c>
      <c r="N117" s="554">
        <v>1</v>
      </c>
      <c r="O117" s="554">
        <v>1</v>
      </c>
      <c r="P117" s="554">
        <v>1</v>
      </c>
    </row>
    <row r="118" spans="1:22" x14ac:dyDescent="0.2">
      <c r="A118" s="377">
        <v>17850</v>
      </c>
      <c r="B118" s="553" t="s">
        <v>248</v>
      </c>
      <c r="C118" s="307" t="s">
        <v>125</v>
      </c>
      <c r="D118" s="504" t="s">
        <v>2</v>
      </c>
      <c r="E118" s="554">
        <v>1</v>
      </c>
      <c r="F118" s="554">
        <v>1</v>
      </c>
      <c r="H118" s="554">
        <v>1</v>
      </c>
      <c r="I118" s="554">
        <v>1</v>
      </c>
      <c r="J118" s="554">
        <v>1</v>
      </c>
      <c r="K118" s="554">
        <v>1</v>
      </c>
      <c r="L118" s="554">
        <v>1</v>
      </c>
      <c r="M118" s="554">
        <v>1</v>
      </c>
      <c r="N118" s="554">
        <v>1</v>
      </c>
      <c r="O118" s="554">
        <v>1</v>
      </c>
    </row>
    <row r="119" spans="1:22" x14ac:dyDescent="0.2">
      <c r="A119" s="377">
        <v>17900</v>
      </c>
      <c r="B119" s="553" t="s">
        <v>249</v>
      </c>
      <c r="C119" s="307" t="s">
        <v>293</v>
      </c>
      <c r="D119" s="504" t="s">
        <v>2</v>
      </c>
    </row>
    <row r="120" spans="1:22" x14ac:dyDescent="0.2">
      <c r="A120" s="377">
        <v>17950</v>
      </c>
      <c r="B120" s="553" t="s">
        <v>250</v>
      </c>
      <c r="C120" s="307" t="s">
        <v>293</v>
      </c>
      <c r="D120" s="504" t="s">
        <v>2</v>
      </c>
    </row>
    <row r="121" spans="1:22" x14ac:dyDescent="0.2">
      <c r="A121" s="377">
        <v>18020</v>
      </c>
      <c r="B121" s="553" t="s">
        <v>251</v>
      </c>
      <c r="C121" s="307" t="s">
        <v>293</v>
      </c>
      <c r="D121" s="504" t="s">
        <v>2</v>
      </c>
      <c r="E121" s="554">
        <v>1</v>
      </c>
      <c r="F121" s="554">
        <v>1</v>
      </c>
      <c r="H121" s="554">
        <v>1</v>
      </c>
      <c r="I121" s="554">
        <v>1</v>
      </c>
      <c r="J121" s="554">
        <v>1</v>
      </c>
      <c r="K121" s="554">
        <v>1</v>
      </c>
      <c r="R121" s="554">
        <v>1</v>
      </c>
      <c r="S121" s="554">
        <v>1</v>
      </c>
    </row>
    <row r="122" spans="1:22" x14ac:dyDescent="0.2">
      <c r="A122" s="377">
        <v>18050</v>
      </c>
      <c r="B122" s="553" t="s">
        <v>252</v>
      </c>
      <c r="C122" s="307" t="s">
        <v>127</v>
      </c>
      <c r="D122" s="504" t="s">
        <v>4</v>
      </c>
      <c r="E122" s="554">
        <v>1</v>
      </c>
      <c r="F122" s="554">
        <v>1</v>
      </c>
      <c r="G122" s="554">
        <v>1</v>
      </c>
      <c r="H122" s="554">
        <v>1</v>
      </c>
      <c r="I122" s="554">
        <v>1</v>
      </c>
      <c r="J122" s="554">
        <v>1</v>
      </c>
      <c r="K122" s="554">
        <v>1</v>
      </c>
      <c r="M122" s="554">
        <v>1</v>
      </c>
      <c r="N122" s="554">
        <v>1</v>
      </c>
      <c r="O122" s="554">
        <v>1</v>
      </c>
      <c r="S122" s="554">
        <v>1</v>
      </c>
    </row>
    <row r="123" spans="1:22" x14ac:dyDescent="0.2">
      <c r="A123" s="377">
        <v>18100</v>
      </c>
      <c r="B123" s="553" t="s">
        <v>253</v>
      </c>
      <c r="C123" s="307" t="s">
        <v>293</v>
      </c>
      <c r="D123" s="504" t="s">
        <v>2</v>
      </c>
      <c r="E123" s="554">
        <v>1</v>
      </c>
      <c r="F123" s="554">
        <v>1</v>
      </c>
      <c r="H123" s="554">
        <v>1</v>
      </c>
      <c r="I123" s="554">
        <v>1</v>
      </c>
      <c r="J123" s="554">
        <v>1</v>
      </c>
      <c r="K123" s="554">
        <v>1</v>
      </c>
      <c r="L123" s="554">
        <v>1</v>
      </c>
      <c r="M123" s="554">
        <v>1</v>
      </c>
      <c r="N123" s="554">
        <v>1</v>
      </c>
      <c r="O123" s="554">
        <v>1</v>
      </c>
    </row>
    <row r="124" spans="1:22" x14ac:dyDescent="0.2">
      <c r="A124" s="377">
        <v>18200</v>
      </c>
      <c r="B124" s="553" t="s">
        <v>254</v>
      </c>
      <c r="C124" s="307" t="s">
        <v>703</v>
      </c>
      <c r="D124" s="504" t="s">
        <v>2</v>
      </c>
    </row>
    <row r="125" spans="1:22" x14ac:dyDescent="0.2">
      <c r="A125" s="377">
        <v>18230</v>
      </c>
      <c r="B125" s="553" t="s">
        <v>173</v>
      </c>
      <c r="C125" s="307" t="s">
        <v>293</v>
      </c>
      <c r="D125" s="504" t="s">
        <v>2</v>
      </c>
      <c r="E125" s="554">
        <v>1</v>
      </c>
      <c r="F125" s="554">
        <v>1</v>
      </c>
      <c r="G125" s="554">
        <v>1</v>
      </c>
      <c r="H125" s="554">
        <v>1</v>
      </c>
      <c r="I125" s="554">
        <v>1</v>
      </c>
      <c r="J125" s="554">
        <v>1</v>
      </c>
      <c r="K125" s="554">
        <v>1</v>
      </c>
      <c r="L125" s="554">
        <v>1</v>
      </c>
      <c r="M125" s="554">
        <v>1</v>
      </c>
      <c r="N125" s="554">
        <v>1</v>
      </c>
      <c r="O125" s="554">
        <v>1</v>
      </c>
    </row>
    <row r="126" spans="1:22" x14ac:dyDescent="0.2">
      <c r="A126" s="377">
        <v>18250</v>
      </c>
      <c r="B126" s="553" t="s">
        <v>255</v>
      </c>
      <c r="C126" s="307" t="s">
        <v>190</v>
      </c>
      <c r="D126" s="504" t="s">
        <v>4</v>
      </c>
      <c r="E126" s="554">
        <v>1</v>
      </c>
      <c r="F126" s="554">
        <v>1</v>
      </c>
      <c r="G126" s="554">
        <v>1</v>
      </c>
      <c r="H126" s="554">
        <v>1</v>
      </c>
      <c r="I126" s="554">
        <v>1</v>
      </c>
      <c r="J126" s="554">
        <v>1</v>
      </c>
      <c r="K126" s="554">
        <v>1</v>
      </c>
      <c r="L126" s="554">
        <v>1</v>
      </c>
      <c r="M126" s="554">
        <v>1</v>
      </c>
      <c r="N126" s="554">
        <v>1</v>
      </c>
      <c r="O126" s="554">
        <v>1</v>
      </c>
    </row>
    <row r="127" spans="1:22" x14ac:dyDescent="0.2">
      <c r="A127" s="377">
        <v>18350</v>
      </c>
      <c r="B127" s="553" t="s">
        <v>256</v>
      </c>
      <c r="C127" s="307" t="s">
        <v>291</v>
      </c>
      <c r="D127" s="504" t="s">
        <v>3</v>
      </c>
      <c r="E127" s="554">
        <v>1</v>
      </c>
      <c r="F127" s="554">
        <v>1</v>
      </c>
      <c r="G127" s="554">
        <v>1</v>
      </c>
      <c r="H127" s="554">
        <v>1</v>
      </c>
      <c r="I127" s="554">
        <v>1</v>
      </c>
      <c r="J127" s="554">
        <v>1</v>
      </c>
      <c r="U127" s="554">
        <v>1</v>
      </c>
      <c r="V127" s="551" t="s">
        <v>360</v>
      </c>
    </row>
    <row r="128" spans="1:22" x14ac:dyDescent="0.2">
      <c r="A128" s="377">
        <v>18400</v>
      </c>
      <c r="B128" s="553" t="s">
        <v>257</v>
      </c>
      <c r="C128" s="307" t="s">
        <v>156</v>
      </c>
      <c r="D128" s="504" t="s">
        <v>5</v>
      </c>
      <c r="E128" s="554">
        <v>1</v>
      </c>
      <c r="F128" s="554">
        <v>1</v>
      </c>
      <c r="G128" s="554">
        <v>1</v>
      </c>
      <c r="H128" s="554">
        <v>1</v>
      </c>
      <c r="I128" s="554">
        <v>1</v>
      </c>
      <c r="J128" s="554">
        <v>1</v>
      </c>
      <c r="K128" s="554">
        <v>1</v>
      </c>
      <c r="L128" s="554">
        <v>1</v>
      </c>
      <c r="M128" s="554">
        <v>1</v>
      </c>
      <c r="N128" s="554">
        <v>1</v>
      </c>
      <c r="O128" s="554">
        <v>1</v>
      </c>
      <c r="P128" s="554">
        <v>1</v>
      </c>
      <c r="Q128" s="554">
        <v>1</v>
      </c>
    </row>
    <row r="129" spans="1:21" x14ac:dyDescent="0.2">
      <c r="A129" s="377">
        <v>18450</v>
      </c>
      <c r="B129" s="553" t="s">
        <v>258</v>
      </c>
      <c r="C129" s="307" t="s">
        <v>291</v>
      </c>
      <c r="D129" s="504" t="s">
        <v>3</v>
      </c>
      <c r="E129" s="554">
        <v>1</v>
      </c>
      <c r="F129" s="554">
        <v>1</v>
      </c>
      <c r="G129" s="554">
        <v>1</v>
      </c>
      <c r="H129" s="554">
        <v>1</v>
      </c>
      <c r="I129" s="554">
        <v>1</v>
      </c>
      <c r="J129" s="554">
        <v>1</v>
      </c>
      <c r="K129" s="554">
        <v>1</v>
      </c>
      <c r="P129" s="554">
        <v>1</v>
      </c>
    </row>
    <row r="130" spans="1:21" x14ac:dyDescent="0.2">
      <c r="A130" s="377">
        <v>18500</v>
      </c>
      <c r="B130" s="553" t="s">
        <v>259</v>
      </c>
      <c r="C130" s="307" t="s">
        <v>127</v>
      </c>
      <c r="D130" s="504" t="s">
        <v>4</v>
      </c>
      <c r="E130" s="554">
        <v>1</v>
      </c>
      <c r="F130" s="554">
        <v>1</v>
      </c>
      <c r="G130" s="554">
        <v>1</v>
      </c>
      <c r="H130" s="554">
        <v>1</v>
      </c>
      <c r="I130" s="554">
        <v>1</v>
      </c>
      <c r="J130" s="554">
        <v>1</v>
      </c>
      <c r="K130" s="554">
        <v>1</v>
      </c>
      <c r="L130" s="554">
        <v>1</v>
      </c>
      <c r="M130" s="554">
        <v>1</v>
      </c>
      <c r="N130" s="554">
        <v>1</v>
      </c>
      <c r="O130" s="554">
        <v>1</v>
      </c>
    </row>
    <row r="131" spans="1:21" x14ac:dyDescent="0.2">
      <c r="A131" s="404">
        <v>18710</v>
      </c>
      <c r="B131" s="307" t="s">
        <v>260</v>
      </c>
      <c r="C131" s="307" t="s">
        <v>704</v>
      </c>
      <c r="D131" s="555" t="s">
        <v>2</v>
      </c>
      <c r="E131" s="554">
        <v>1</v>
      </c>
      <c r="F131" s="554">
        <v>1</v>
      </c>
      <c r="G131" s="554">
        <v>1</v>
      </c>
      <c r="H131" s="554">
        <v>1</v>
      </c>
      <c r="I131" s="554">
        <v>1</v>
      </c>
      <c r="J131" s="554">
        <v>1</v>
      </c>
      <c r="K131" s="554">
        <v>1</v>
      </c>
      <c r="L131" s="554">
        <v>1</v>
      </c>
      <c r="M131" s="554">
        <v>1</v>
      </c>
      <c r="P131" s="554">
        <v>1</v>
      </c>
      <c r="Q131" s="554">
        <v>1</v>
      </c>
      <c r="R131" s="554">
        <v>1</v>
      </c>
    </row>
    <row r="133" spans="1:21" x14ac:dyDescent="0.2">
      <c r="B133" s="551" t="s">
        <v>361</v>
      </c>
      <c r="E133" s="551">
        <f>SUM(E4:E131)</f>
        <v>112</v>
      </c>
      <c r="F133" s="551">
        <f t="shared" ref="F133:U133" si="0">SUM(F4:F131)</f>
        <v>112</v>
      </c>
      <c r="G133" s="551">
        <f t="shared" si="0"/>
        <v>96</v>
      </c>
      <c r="H133" s="551">
        <f t="shared" si="0"/>
        <v>112</v>
      </c>
      <c r="I133" s="551">
        <f t="shared" si="0"/>
        <v>112</v>
      </c>
      <c r="J133" s="551">
        <f t="shared" si="0"/>
        <v>111</v>
      </c>
      <c r="K133" s="551">
        <f t="shared" si="0"/>
        <v>110</v>
      </c>
      <c r="L133" s="551">
        <f t="shared" si="0"/>
        <v>97</v>
      </c>
      <c r="M133" s="551">
        <f t="shared" si="0"/>
        <v>100</v>
      </c>
      <c r="N133" s="551">
        <f t="shared" si="0"/>
        <v>85</v>
      </c>
      <c r="O133" s="551">
        <f t="shared" si="0"/>
        <v>83</v>
      </c>
      <c r="P133" s="551">
        <f t="shared" si="0"/>
        <v>45</v>
      </c>
      <c r="Q133" s="551">
        <f t="shared" si="0"/>
        <v>21</v>
      </c>
      <c r="R133" s="551">
        <f t="shared" si="0"/>
        <v>8</v>
      </c>
      <c r="S133" s="551">
        <f t="shared" si="0"/>
        <v>5</v>
      </c>
      <c r="T133" s="551">
        <f t="shared" si="0"/>
        <v>1</v>
      </c>
      <c r="U133" s="551">
        <f t="shared" si="0"/>
        <v>5</v>
      </c>
    </row>
    <row r="135" spans="1:21" x14ac:dyDescent="0.2">
      <c r="A135" s="556">
        <v>30</v>
      </c>
      <c r="C135" s="276" t="s">
        <v>18</v>
      </c>
      <c r="D135" s="276"/>
      <c r="E135" s="533">
        <f>SUMIF($D$4:$D$131,"S",E$4:E$131)</f>
        <v>30</v>
      </c>
      <c r="F135" s="533">
        <f t="shared" ref="F135:U135" si="1">SUMIF($D$4:$D$131,"S",F$4:F$131)</f>
        <v>30</v>
      </c>
      <c r="G135" s="533">
        <f t="shared" si="1"/>
        <v>30</v>
      </c>
      <c r="H135" s="533">
        <f t="shared" si="1"/>
        <v>30</v>
      </c>
      <c r="I135" s="533">
        <f t="shared" si="1"/>
        <v>30</v>
      </c>
      <c r="J135" s="533">
        <f t="shared" si="1"/>
        <v>30</v>
      </c>
      <c r="K135" s="533">
        <f t="shared" si="1"/>
        <v>30</v>
      </c>
      <c r="L135" s="533">
        <f t="shared" si="1"/>
        <v>29</v>
      </c>
      <c r="M135" s="533">
        <f t="shared" si="1"/>
        <v>29</v>
      </c>
      <c r="N135" s="533">
        <f t="shared" si="1"/>
        <v>28</v>
      </c>
      <c r="O135" s="533">
        <f t="shared" si="1"/>
        <v>23</v>
      </c>
      <c r="P135" s="533">
        <f t="shared" si="1"/>
        <v>7</v>
      </c>
      <c r="Q135" s="533">
        <f t="shared" si="1"/>
        <v>3</v>
      </c>
      <c r="R135" s="533">
        <f t="shared" si="1"/>
        <v>0</v>
      </c>
      <c r="S135" s="533">
        <f t="shared" si="1"/>
        <v>1</v>
      </c>
      <c r="T135" s="533">
        <f t="shared" si="1"/>
        <v>0</v>
      </c>
      <c r="U135" s="533">
        <f t="shared" si="1"/>
        <v>1</v>
      </c>
    </row>
    <row r="136" spans="1:21" x14ac:dyDescent="0.2">
      <c r="A136" s="556">
        <v>12</v>
      </c>
      <c r="C136" s="276" t="s">
        <v>19</v>
      </c>
      <c r="D136" s="276"/>
      <c r="E136" s="533">
        <f>SUMIF($D$4:$D$131,"E",E$4:E$131)</f>
        <v>12</v>
      </c>
      <c r="F136" s="533">
        <f t="shared" ref="F136:U136" si="2">SUMIF($D$4:$D$131,"E",F$4:F$131)</f>
        <v>12</v>
      </c>
      <c r="G136" s="533">
        <f t="shared" si="2"/>
        <v>12</v>
      </c>
      <c r="H136" s="533">
        <f t="shared" si="2"/>
        <v>12</v>
      </c>
      <c r="I136" s="533">
        <f t="shared" si="2"/>
        <v>12</v>
      </c>
      <c r="J136" s="533">
        <f t="shared" si="2"/>
        <v>12</v>
      </c>
      <c r="K136" s="533">
        <f t="shared" si="2"/>
        <v>11</v>
      </c>
      <c r="L136" s="533">
        <f t="shared" si="2"/>
        <v>10</v>
      </c>
      <c r="M136" s="533">
        <f t="shared" si="2"/>
        <v>10</v>
      </c>
      <c r="N136" s="533">
        <f t="shared" si="2"/>
        <v>9</v>
      </c>
      <c r="O136" s="533">
        <f t="shared" si="2"/>
        <v>9</v>
      </c>
      <c r="P136" s="533">
        <f t="shared" si="2"/>
        <v>5</v>
      </c>
      <c r="Q136" s="533">
        <f t="shared" si="2"/>
        <v>0</v>
      </c>
      <c r="R136" s="533">
        <f t="shared" si="2"/>
        <v>0</v>
      </c>
      <c r="S136" s="533">
        <f t="shared" si="2"/>
        <v>0</v>
      </c>
      <c r="T136" s="533">
        <f t="shared" si="2"/>
        <v>0</v>
      </c>
      <c r="U136" s="533">
        <f t="shared" si="2"/>
        <v>2</v>
      </c>
    </row>
    <row r="137" spans="1:21" x14ac:dyDescent="0.2">
      <c r="A137" s="556">
        <v>19</v>
      </c>
      <c r="C137" s="276" t="s">
        <v>20</v>
      </c>
      <c r="D137" s="276"/>
      <c r="E137" s="533">
        <f>SUMIF($D$4:$D$131,"R",E$4:E$131)</f>
        <v>19</v>
      </c>
      <c r="F137" s="533">
        <f t="shared" ref="F137:U137" si="3">SUMIF($D$4:$D$131,"R",F$4:F$131)</f>
        <v>19</v>
      </c>
      <c r="G137" s="533">
        <f t="shared" si="3"/>
        <v>16</v>
      </c>
      <c r="H137" s="533">
        <f t="shared" si="3"/>
        <v>19</v>
      </c>
      <c r="I137" s="533">
        <f t="shared" si="3"/>
        <v>19</v>
      </c>
      <c r="J137" s="533">
        <f t="shared" si="3"/>
        <v>19</v>
      </c>
      <c r="K137" s="533">
        <f t="shared" si="3"/>
        <v>19</v>
      </c>
      <c r="L137" s="533">
        <f t="shared" si="3"/>
        <v>16</v>
      </c>
      <c r="M137" s="533">
        <f t="shared" si="3"/>
        <v>18</v>
      </c>
      <c r="N137" s="533">
        <f t="shared" si="3"/>
        <v>14</v>
      </c>
      <c r="O137" s="533">
        <f t="shared" si="3"/>
        <v>13</v>
      </c>
      <c r="P137" s="533">
        <f t="shared" si="3"/>
        <v>14</v>
      </c>
      <c r="Q137" s="533">
        <f t="shared" si="3"/>
        <v>5</v>
      </c>
      <c r="R137" s="533">
        <f t="shared" si="3"/>
        <v>4</v>
      </c>
      <c r="S137" s="533">
        <f t="shared" si="3"/>
        <v>3</v>
      </c>
      <c r="T137" s="533">
        <f t="shared" si="3"/>
        <v>1</v>
      </c>
      <c r="U137" s="533">
        <f t="shared" si="3"/>
        <v>2</v>
      </c>
    </row>
    <row r="138" spans="1:21" x14ac:dyDescent="0.2">
      <c r="A138" s="556">
        <v>67</v>
      </c>
      <c r="C138" s="276" t="s">
        <v>21</v>
      </c>
      <c r="D138" s="276"/>
      <c r="E138" s="533">
        <f>SUMIF($D$4:$D$131,"N",E$4:E$131)</f>
        <v>51</v>
      </c>
      <c r="F138" s="533">
        <f t="shared" ref="F138:U138" si="4">SUMIF($D$4:$D$131,"N",F$4:F$131)</f>
        <v>51</v>
      </c>
      <c r="G138" s="533">
        <f t="shared" si="4"/>
        <v>38</v>
      </c>
      <c r="H138" s="533">
        <f t="shared" si="4"/>
        <v>51</v>
      </c>
      <c r="I138" s="533">
        <f t="shared" si="4"/>
        <v>51</v>
      </c>
      <c r="J138" s="533">
        <f t="shared" si="4"/>
        <v>50</v>
      </c>
      <c r="K138" s="533">
        <f t="shared" si="4"/>
        <v>50</v>
      </c>
      <c r="L138" s="533">
        <f t="shared" si="4"/>
        <v>42</v>
      </c>
      <c r="M138" s="533">
        <f t="shared" si="4"/>
        <v>43</v>
      </c>
      <c r="N138" s="533">
        <f t="shared" si="4"/>
        <v>34</v>
      </c>
      <c r="O138" s="533">
        <f t="shared" si="4"/>
        <v>38</v>
      </c>
      <c r="P138" s="533">
        <f t="shared" si="4"/>
        <v>19</v>
      </c>
      <c r="Q138" s="533">
        <f t="shared" si="4"/>
        <v>13</v>
      </c>
      <c r="R138" s="533">
        <f t="shared" si="4"/>
        <v>4</v>
      </c>
      <c r="S138" s="533">
        <f t="shared" si="4"/>
        <v>1</v>
      </c>
      <c r="T138" s="533">
        <f t="shared" si="4"/>
        <v>0</v>
      </c>
      <c r="U138" s="533">
        <f t="shared" si="4"/>
        <v>0</v>
      </c>
    </row>
    <row r="139" spans="1:21" x14ac:dyDescent="0.2">
      <c r="A139" s="556">
        <v>128</v>
      </c>
      <c r="C139" s="276" t="s">
        <v>17</v>
      </c>
      <c r="D139" s="557"/>
      <c r="E139" s="558">
        <f t="shared" ref="E139:U139" si="5">SUM(E135:E138)</f>
        <v>112</v>
      </c>
      <c r="F139" s="558">
        <f t="shared" si="5"/>
        <v>112</v>
      </c>
      <c r="G139" s="558">
        <f t="shared" si="5"/>
        <v>96</v>
      </c>
      <c r="H139" s="558">
        <f t="shared" si="5"/>
        <v>112</v>
      </c>
      <c r="I139" s="558">
        <f t="shared" si="5"/>
        <v>112</v>
      </c>
      <c r="J139" s="558">
        <f t="shared" si="5"/>
        <v>111</v>
      </c>
      <c r="K139" s="558">
        <f t="shared" si="5"/>
        <v>110</v>
      </c>
      <c r="L139" s="558">
        <f t="shared" si="5"/>
        <v>97</v>
      </c>
      <c r="M139" s="558">
        <f t="shared" si="5"/>
        <v>100</v>
      </c>
      <c r="N139" s="558">
        <f t="shared" si="5"/>
        <v>85</v>
      </c>
      <c r="O139" s="558">
        <f t="shared" si="5"/>
        <v>83</v>
      </c>
      <c r="P139" s="558">
        <f t="shared" si="5"/>
        <v>45</v>
      </c>
      <c r="Q139" s="558">
        <f t="shared" si="5"/>
        <v>21</v>
      </c>
      <c r="R139" s="558">
        <f t="shared" si="5"/>
        <v>8</v>
      </c>
      <c r="S139" s="558">
        <f t="shared" si="5"/>
        <v>5</v>
      </c>
      <c r="T139" s="558">
        <f t="shared" si="5"/>
        <v>1</v>
      </c>
      <c r="U139" s="558">
        <f t="shared" si="5"/>
        <v>5</v>
      </c>
    </row>
    <row r="141" spans="1:21" x14ac:dyDescent="0.2">
      <c r="C141" s="276" t="s">
        <v>18</v>
      </c>
      <c r="E141" s="559">
        <f t="shared" ref="E141:U145" si="6">E135/$A135</f>
        <v>1</v>
      </c>
      <c r="F141" s="559">
        <f t="shared" si="6"/>
        <v>1</v>
      </c>
      <c r="G141" s="559">
        <f t="shared" si="6"/>
        <v>1</v>
      </c>
      <c r="H141" s="559">
        <f t="shared" si="6"/>
        <v>1</v>
      </c>
      <c r="I141" s="559">
        <f t="shared" si="6"/>
        <v>1</v>
      </c>
      <c r="J141" s="559">
        <f t="shared" si="6"/>
        <v>1</v>
      </c>
      <c r="K141" s="559">
        <f t="shared" si="6"/>
        <v>1</v>
      </c>
      <c r="L141" s="559">
        <f t="shared" si="6"/>
        <v>0.96666666666666667</v>
      </c>
      <c r="M141" s="559">
        <f t="shared" si="6"/>
        <v>0.96666666666666667</v>
      </c>
      <c r="N141" s="559">
        <f t="shared" si="6"/>
        <v>0.93333333333333335</v>
      </c>
      <c r="O141" s="559">
        <f t="shared" si="6"/>
        <v>0.76666666666666672</v>
      </c>
      <c r="P141" s="559">
        <f t="shared" si="6"/>
        <v>0.23333333333333334</v>
      </c>
      <c r="Q141" s="559">
        <f t="shared" si="6"/>
        <v>0.1</v>
      </c>
      <c r="R141" s="559">
        <f t="shared" si="6"/>
        <v>0</v>
      </c>
      <c r="S141" s="559">
        <f t="shared" si="6"/>
        <v>3.3333333333333333E-2</v>
      </c>
      <c r="T141" s="559">
        <f t="shared" si="6"/>
        <v>0</v>
      </c>
      <c r="U141" s="559">
        <f t="shared" si="6"/>
        <v>3.3333333333333333E-2</v>
      </c>
    </row>
    <row r="142" spans="1:21" x14ac:dyDescent="0.2">
      <c r="C142" s="276" t="s">
        <v>19</v>
      </c>
      <c r="E142" s="559">
        <f t="shared" si="6"/>
        <v>1</v>
      </c>
      <c r="F142" s="559">
        <f t="shared" si="6"/>
        <v>1</v>
      </c>
      <c r="G142" s="559">
        <f t="shared" si="6"/>
        <v>1</v>
      </c>
      <c r="H142" s="559">
        <f t="shared" si="6"/>
        <v>1</v>
      </c>
      <c r="I142" s="559">
        <f t="shared" si="6"/>
        <v>1</v>
      </c>
      <c r="J142" s="559">
        <f t="shared" si="6"/>
        <v>1</v>
      </c>
      <c r="K142" s="559">
        <f t="shared" si="6"/>
        <v>0.91666666666666663</v>
      </c>
      <c r="L142" s="559">
        <f t="shared" si="6"/>
        <v>0.83333333333333337</v>
      </c>
      <c r="M142" s="559">
        <f t="shared" si="6"/>
        <v>0.83333333333333337</v>
      </c>
      <c r="N142" s="559">
        <f t="shared" si="6"/>
        <v>0.75</v>
      </c>
      <c r="O142" s="559">
        <f t="shared" si="6"/>
        <v>0.75</v>
      </c>
      <c r="P142" s="559">
        <f t="shared" si="6"/>
        <v>0.41666666666666669</v>
      </c>
      <c r="Q142" s="559">
        <f t="shared" si="6"/>
        <v>0</v>
      </c>
      <c r="R142" s="559">
        <f t="shared" si="6"/>
        <v>0</v>
      </c>
      <c r="S142" s="559">
        <f t="shared" si="6"/>
        <v>0</v>
      </c>
      <c r="T142" s="559">
        <f t="shared" si="6"/>
        <v>0</v>
      </c>
      <c r="U142" s="559">
        <f t="shared" si="6"/>
        <v>0.16666666666666666</v>
      </c>
    </row>
    <row r="143" spans="1:21" x14ac:dyDescent="0.2">
      <c r="C143" s="276" t="s">
        <v>20</v>
      </c>
      <c r="E143" s="559">
        <f t="shared" si="6"/>
        <v>1</v>
      </c>
      <c r="F143" s="559">
        <f t="shared" si="6"/>
        <v>1</v>
      </c>
      <c r="G143" s="559">
        <f t="shared" si="6"/>
        <v>0.84210526315789469</v>
      </c>
      <c r="H143" s="559">
        <f t="shared" si="6"/>
        <v>1</v>
      </c>
      <c r="I143" s="559">
        <f t="shared" si="6"/>
        <v>1</v>
      </c>
      <c r="J143" s="559">
        <f t="shared" si="6"/>
        <v>1</v>
      </c>
      <c r="K143" s="559">
        <f t="shared" si="6"/>
        <v>1</v>
      </c>
      <c r="L143" s="559">
        <f t="shared" si="6"/>
        <v>0.84210526315789469</v>
      </c>
      <c r="M143" s="559">
        <f t="shared" si="6"/>
        <v>0.94736842105263153</v>
      </c>
      <c r="N143" s="559">
        <f t="shared" si="6"/>
        <v>0.73684210526315785</v>
      </c>
      <c r="O143" s="559">
        <f t="shared" si="6"/>
        <v>0.68421052631578949</v>
      </c>
      <c r="P143" s="559">
        <f t="shared" si="6"/>
        <v>0.73684210526315785</v>
      </c>
      <c r="Q143" s="559">
        <f t="shared" si="6"/>
        <v>0.26315789473684209</v>
      </c>
      <c r="R143" s="559">
        <f t="shared" si="6"/>
        <v>0.21052631578947367</v>
      </c>
      <c r="S143" s="559">
        <f t="shared" si="6"/>
        <v>0.15789473684210525</v>
      </c>
      <c r="T143" s="559">
        <f t="shared" si="6"/>
        <v>5.2631578947368418E-2</v>
      </c>
      <c r="U143" s="559">
        <f t="shared" si="6"/>
        <v>0.10526315789473684</v>
      </c>
    </row>
    <row r="144" spans="1:21" x14ac:dyDescent="0.2">
      <c r="C144" s="276" t="s">
        <v>21</v>
      </c>
      <c r="E144" s="559">
        <f t="shared" si="6"/>
        <v>0.76119402985074625</v>
      </c>
      <c r="F144" s="559">
        <f t="shared" si="6"/>
        <v>0.76119402985074625</v>
      </c>
      <c r="G144" s="559">
        <f t="shared" si="6"/>
        <v>0.56716417910447758</v>
      </c>
      <c r="H144" s="559">
        <f t="shared" si="6"/>
        <v>0.76119402985074625</v>
      </c>
      <c r="I144" s="559">
        <f t="shared" si="6"/>
        <v>0.76119402985074625</v>
      </c>
      <c r="J144" s="559">
        <f t="shared" si="6"/>
        <v>0.74626865671641796</v>
      </c>
      <c r="K144" s="559">
        <f t="shared" si="6"/>
        <v>0.74626865671641796</v>
      </c>
      <c r="L144" s="559">
        <f t="shared" si="6"/>
        <v>0.62686567164179108</v>
      </c>
      <c r="M144" s="559">
        <f t="shared" si="6"/>
        <v>0.64179104477611937</v>
      </c>
      <c r="N144" s="559">
        <f t="shared" si="6"/>
        <v>0.5074626865671642</v>
      </c>
      <c r="O144" s="559">
        <f t="shared" si="6"/>
        <v>0.56716417910447758</v>
      </c>
      <c r="P144" s="559">
        <f t="shared" si="6"/>
        <v>0.28358208955223879</v>
      </c>
      <c r="Q144" s="559">
        <f t="shared" si="6"/>
        <v>0.19402985074626866</v>
      </c>
      <c r="R144" s="559">
        <f t="shared" si="6"/>
        <v>5.9701492537313432E-2</v>
      </c>
      <c r="S144" s="559">
        <f t="shared" si="6"/>
        <v>1.4925373134328358E-2</v>
      </c>
      <c r="T144" s="559">
        <f t="shared" si="6"/>
        <v>0</v>
      </c>
      <c r="U144" s="559">
        <f t="shared" si="6"/>
        <v>0</v>
      </c>
    </row>
    <row r="145" spans="3:21" x14ac:dyDescent="0.2">
      <c r="C145" s="276" t="s">
        <v>17</v>
      </c>
      <c r="E145" s="559">
        <f t="shared" si="6"/>
        <v>0.875</v>
      </c>
      <c r="F145" s="559">
        <f t="shared" si="6"/>
        <v>0.875</v>
      </c>
      <c r="G145" s="559">
        <f t="shared" si="6"/>
        <v>0.75</v>
      </c>
      <c r="H145" s="559">
        <f t="shared" si="6"/>
        <v>0.875</v>
      </c>
      <c r="I145" s="559">
        <f t="shared" si="6"/>
        <v>0.875</v>
      </c>
      <c r="J145" s="559">
        <f t="shared" si="6"/>
        <v>0.8671875</v>
      </c>
      <c r="K145" s="559">
        <f t="shared" si="6"/>
        <v>0.859375</v>
      </c>
      <c r="L145" s="559">
        <f t="shared" si="6"/>
        <v>0.7578125</v>
      </c>
      <c r="M145" s="559">
        <f t="shared" si="6"/>
        <v>0.78125</v>
      </c>
      <c r="N145" s="559">
        <f t="shared" si="6"/>
        <v>0.6640625</v>
      </c>
      <c r="O145" s="559">
        <f t="shared" si="6"/>
        <v>0.6484375</v>
      </c>
      <c r="P145" s="559">
        <f t="shared" si="6"/>
        <v>0.3515625</v>
      </c>
      <c r="Q145" s="559">
        <f t="shared" si="6"/>
        <v>0.1640625</v>
      </c>
      <c r="R145" s="559">
        <f t="shared" si="6"/>
        <v>6.25E-2</v>
      </c>
      <c r="S145" s="559">
        <f t="shared" si="6"/>
        <v>3.90625E-2</v>
      </c>
      <c r="T145" s="559">
        <f t="shared" si="6"/>
        <v>7.8125E-3</v>
      </c>
      <c r="U145" s="559">
        <f t="shared" si="6"/>
        <v>3.90625E-2</v>
      </c>
    </row>
  </sheetData>
  <mergeCells count="1">
    <mergeCell ref="E1:U1"/>
  </mergeCells>
  <pageMargins left="0.25" right="0.25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17</vt:i4>
      </vt:variant>
    </vt:vector>
  </HeadingPairs>
  <TitlesOfParts>
    <vt:vector size="28" baseType="lpstr">
      <vt:lpstr>App 1-Services</vt:lpstr>
      <vt:lpstr>App 2-Totals</vt:lpstr>
      <vt:lpstr>App 3-Recycling Rate</vt:lpstr>
      <vt:lpstr>App 4-Recyclables</vt:lpstr>
      <vt:lpstr>App 5-Organics</vt:lpstr>
      <vt:lpstr>App 6-Residual Waste</vt:lpstr>
      <vt:lpstr>App 7-Household and Capita</vt:lpstr>
      <vt:lpstr>App 8-Bin Size and Frequency</vt:lpstr>
      <vt:lpstr>App 8a - Rec Materials Acepted</vt:lpstr>
      <vt:lpstr>App 9-AWT</vt:lpstr>
      <vt:lpstr>App 10-DWMC</vt:lpstr>
      <vt:lpstr>'App 10-DWMC'!Print_Area</vt:lpstr>
      <vt:lpstr>'App 1-Services'!Print_Area</vt:lpstr>
      <vt:lpstr>'App 2-Totals'!Print_Area</vt:lpstr>
      <vt:lpstr>'App 3-Recycling Rate'!Print_Area</vt:lpstr>
      <vt:lpstr>'App 4-Recyclables'!Print_Area</vt:lpstr>
      <vt:lpstr>'App 5-Organics'!Print_Area</vt:lpstr>
      <vt:lpstr>'App 6-Residual Waste'!Print_Area</vt:lpstr>
      <vt:lpstr>'App 7-Household and Capita'!Print_Area</vt:lpstr>
      <vt:lpstr>'App 8-Bin Size and Frequency'!Print_Area</vt:lpstr>
      <vt:lpstr>'App 10-DWMC'!Print_Titles</vt:lpstr>
      <vt:lpstr>'App 1-Services'!Print_Titles</vt:lpstr>
      <vt:lpstr>'App 3-Recycling Rate'!Print_Titles</vt:lpstr>
      <vt:lpstr>'App 4-Recyclables'!Print_Titles</vt:lpstr>
      <vt:lpstr>'App 5-Organics'!Print_Titles</vt:lpstr>
      <vt:lpstr>'App 6-Residual Waste'!Print_Titles</vt:lpstr>
      <vt:lpstr>'App 7-Household and Capita'!Print_Titles</vt:lpstr>
      <vt:lpstr>'App 8-Bin Size and Frequency'!Print_Titles</vt:lpstr>
    </vt:vector>
  </TitlesOfParts>
  <Company>Office of Environment and Heritage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White</dc:creator>
  <cp:lastModifiedBy>Ron White</cp:lastModifiedBy>
  <cp:lastPrinted>2019-02-26T05:26:20Z</cp:lastPrinted>
  <dcterms:created xsi:type="dcterms:W3CDTF">2014-12-11T00:49:17Z</dcterms:created>
  <dcterms:modified xsi:type="dcterms:W3CDTF">2019-05-23T02:46:11Z</dcterms:modified>
</cp:coreProperties>
</file>